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fileSharing userName="s349016" algorithmName="SHA-512" hashValue="3k6QPo7wBbepcs/2ikzJBP1kXjYsSVPUcDu4AGM/07To8OnW78TiJrtQJ8wUQyeMDTtbD6TLNKVbm0QXZ8YFDw==" saltValue="9xg0ypVcVAQD7iMp+tAJPw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AEP West Trans\True Ups\2023 Annual Update\Transco_OKTCo_SWTCo\Filed Documents\"/>
    </mc:Choice>
  </mc:AlternateContent>
  <xr:revisionPtr revIDLastSave="0" documentId="13_ncr:10001_{F0CC305B-9DCA-48B1-BB1C-048EF6A6C67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0">Instructions!$A$1:$Q$17</definedName>
    <definedName name="_xlnm.Print_Area" localSheetId="1">Summary!$C$1:$I$40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9" l="1"/>
  <c r="L3" i="18" l="1"/>
  <c r="H138" i="18"/>
  <c r="H106" i="18"/>
  <c r="H74" i="18"/>
  <c r="H42" i="18"/>
  <c r="H209" i="18"/>
  <c r="H122" i="18" l="1"/>
  <c r="H46" i="18"/>
  <c r="H78" i="18"/>
  <c r="H110" i="18"/>
  <c r="H142" i="18"/>
  <c r="H26" i="18"/>
  <c r="H58" i="18"/>
  <c r="H90" i="18"/>
  <c r="H30" i="18"/>
  <c r="H62" i="18"/>
  <c r="H94" i="18"/>
  <c r="H126" i="18"/>
  <c r="H34" i="18"/>
  <c r="H50" i="18"/>
  <c r="H66" i="18"/>
  <c r="H82" i="18"/>
  <c r="H98" i="18"/>
  <c r="H114" i="18"/>
  <c r="H130" i="18"/>
  <c r="H22" i="18"/>
  <c r="H38" i="18"/>
  <c r="H54" i="18"/>
  <c r="H70" i="18"/>
  <c r="H86" i="18"/>
  <c r="H102" i="18"/>
  <c r="H118" i="18"/>
  <c r="H134" i="18"/>
  <c r="H39" i="18"/>
  <c r="H51" i="18"/>
  <c r="H55" i="18"/>
  <c r="H59" i="18"/>
  <c r="H63" i="18"/>
  <c r="H67" i="18"/>
  <c r="H71" i="18"/>
  <c r="H75" i="18"/>
  <c r="H79" i="18"/>
  <c r="H83" i="18"/>
  <c r="H87" i="18"/>
  <c r="H91" i="18"/>
  <c r="H95" i="18"/>
  <c r="H99" i="18"/>
  <c r="H103" i="18"/>
  <c r="H107" i="18"/>
  <c r="H111" i="18"/>
  <c r="H115" i="18"/>
  <c r="H119" i="18"/>
  <c r="H123" i="18"/>
  <c r="H127" i="18"/>
  <c r="H131" i="18"/>
  <c r="H135" i="18"/>
  <c r="H139" i="18"/>
  <c r="H143" i="18"/>
  <c r="H147" i="18"/>
  <c r="H151" i="18"/>
  <c r="H155" i="18"/>
  <c r="H159" i="18"/>
  <c r="H163" i="18"/>
  <c r="H167" i="18"/>
  <c r="H171" i="18"/>
  <c r="H175" i="18"/>
  <c r="H179" i="18"/>
  <c r="H183" i="18"/>
  <c r="H187" i="18"/>
  <c r="H191" i="18"/>
  <c r="H195" i="18"/>
  <c r="H199" i="18"/>
  <c r="H203" i="18"/>
  <c r="H207" i="18"/>
  <c r="H211" i="18"/>
  <c r="H146" i="18"/>
  <c r="H154" i="18"/>
  <c r="H162" i="18"/>
  <c r="H170" i="18"/>
  <c r="H178" i="18"/>
  <c r="H186" i="18"/>
  <c r="H194" i="18"/>
  <c r="H202" i="18"/>
  <c r="H206" i="18"/>
  <c r="H27" i="18"/>
  <c r="H35" i="18"/>
  <c r="H47" i="18"/>
  <c r="H20" i="18"/>
  <c r="H24" i="18"/>
  <c r="H28" i="18"/>
  <c r="H32" i="18"/>
  <c r="H36" i="18"/>
  <c r="H40" i="18"/>
  <c r="H44" i="18"/>
  <c r="H48" i="18"/>
  <c r="H52" i="18"/>
  <c r="H56" i="18"/>
  <c r="H60" i="18"/>
  <c r="H64" i="18"/>
  <c r="H68" i="18"/>
  <c r="H72" i="18"/>
  <c r="H76" i="18"/>
  <c r="H80" i="18"/>
  <c r="H84" i="18"/>
  <c r="H88" i="18"/>
  <c r="H92" i="18"/>
  <c r="H96" i="18"/>
  <c r="H100" i="18"/>
  <c r="H104" i="18"/>
  <c r="H108" i="18"/>
  <c r="H112" i="18"/>
  <c r="H116" i="18"/>
  <c r="H120" i="18"/>
  <c r="H124" i="18"/>
  <c r="H128" i="18"/>
  <c r="H132" i="18"/>
  <c r="H136" i="18"/>
  <c r="H140" i="18"/>
  <c r="H144" i="18"/>
  <c r="H148" i="18"/>
  <c r="H152" i="18"/>
  <c r="H156" i="18"/>
  <c r="H160" i="18"/>
  <c r="H164" i="18"/>
  <c r="H168" i="18"/>
  <c r="H172" i="18"/>
  <c r="H176" i="18"/>
  <c r="H180" i="18"/>
  <c r="H184" i="18"/>
  <c r="H188" i="18"/>
  <c r="H192" i="18"/>
  <c r="H196" i="18"/>
  <c r="H200" i="18"/>
  <c r="H204" i="18"/>
  <c r="H208" i="18"/>
  <c r="H150" i="18"/>
  <c r="H158" i="18"/>
  <c r="H166" i="18"/>
  <c r="H174" i="18"/>
  <c r="H182" i="18"/>
  <c r="H190" i="18"/>
  <c r="H198" i="18"/>
  <c r="H210" i="18"/>
  <c r="H23" i="18"/>
  <c r="H31" i="18"/>
  <c r="H43" i="18"/>
  <c r="H21" i="18"/>
  <c r="H25" i="18"/>
  <c r="H29" i="18"/>
  <c r="H33" i="18"/>
  <c r="H37" i="18"/>
  <c r="H41" i="18"/>
  <c r="H45" i="18"/>
  <c r="H49" i="18"/>
  <c r="H53" i="18"/>
  <c r="H57" i="18"/>
  <c r="H61" i="18"/>
  <c r="H65" i="18"/>
  <c r="H69" i="18"/>
  <c r="H73" i="18"/>
  <c r="H77" i="18"/>
  <c r="H81" i="18"/>
  <c r="H85" i="18"/>
  <c r="H89" i="18"/>
  <c r="H93" i="18"/>
  <c r="H97" i="18"/>
  <c r="H101" i="18"/>
  <c r="H105" i="18"/>
  <c r="H109" i="18"/>
  <c r="H113" i="18"/>
  <c r="H117" i="18"/>
  <c r="H121" i="18"/>
  <c r="H125" i="18"/>
  <c r="H129" i="18"/>
  <c r="H133" i="18"/>
  <c r="H137" i="18"/>
  <c r="H141" i="18"/>
  <c r="H145" i="18"/>
  <c r="H149" i="18"/>
  <c r="H153" i="18"/>
  <c r="H157" i="18"/>
  <c r="H161" i="18"/>
  <c r="H165" i="18"/>
  <c r="H169" i="18"/>
  <c r="H173" i="18"/>
  <c r="H177" i="18"/>
  <c r="H181" i="18"/>
  <c r="H185" i="18"/>
  <c r="H189" i="18"/>
  <c r="H193" i="18"/>
  <c r="H197" i="18"/>
  <c r="H201" i="18"/>
  <c r="H205" i="18"/>
  <c r="O191" i="18" l="1"/>
  <c r="K1" i="18"/>
  <c r="O59" i="18"/>
  <c r="P59" i="18" s="1"/>
  <c r="O67" i="18"/>
  <c r="O210" i="18"/>
  <c r="P210" i="18" s="1"/>
  <c r="O202" i="18"/>
  <c r="O178" i="18"/>
  <c r="O146" i="18"/>
  <c r="O138" i="18"/>
  <c r="O98" i="18"/>
  <c r="O90" i="18"/>
  <c r="P90" i="18" s="1"/>
  <c r="O38" i="18"/>
  <c r="P38" i="18" s="1"/>
  <c r="O209" i="18"/>
  <c r="O181" i="18"/>
  <c r="P181" i="18" s="1"/>
  <c r="O177" i="18"/>
  <c r="O145" i="18"/>
  <c r="O121" i="18"/>
  <c r="O97" i="18"/>
  <c r="O81" i="18"/>
  <c r="P81" i="18" s="1"/>
  <c r="O73" i="18"/>
  <c r="O49" i="18"/>
  <c r="O25" i="18"/>
  <c r="O208" i="18"/>
  <c r="O180" i="18"/>
  <c r="O160" i="18"/>
  <c r="O152" i="18"/>
  <c r="O120" i="18"/>
  <c r="O100" i="18"/>
  <c r="O96" i="18"/>
  <c r="O72" i="18"/>
  <c r="O52" i="18"/>
  <c r="O48" i="18"/>
  <c r="O23" i="18"/>
  <c r="O119" i="18"/>
  <c r="P119" i="18" s="1"/>
  <c r="O135" i="18"/>
  <c r="P191" i="18"/>
  <c r="P121" i="18"/>
  <c r="P98" i="18"/>
  <c r="P97" i="18"/>
  <c r="P71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C3" i="29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D38" i="18"/>
  <c r="D50" i="18" s="1"/>
  <c r="J19" i="18"/>
  <c r="D43" i="18"/>
  <c r="D67" i="18" s="1"/>
  <c r="D79" i="18" s="1"/>
  <c r="B31" i="18"/>
  <c r="D42" i="18"/>
  <c r="D66" i="18" s="1"/>
  <c r="B30" i="18"/>
  <c r="D41" i="18"/>
  <c r="D65" i="18" s="1"/>
  <c r="D89" i="18" s="1"/>
  <c r="D101" i="18" s="1"/>
  <c r="D113" i="18" s="1"/>
  <c r="D125" i="18" s="1"/>
  <c r="D137" i="18" s="1"/>
  <c r="D149" i="18" s="1"/>
  <c r="D161" i="18" s="1"/>
  <c r="D185" i="18" s="1"/>
  <c r="D197" i="18" s="1"/>
  <c r="D209" i="18" s="1"/>
  <c r="B29" i="18"/>
  <c r="B28" i="18"/>
  <c r="C39" i="18"/>
  <c r="C51" i="18" s="1"/>
  <c r="D39" i="18"/>
  <c r="D51" i="18" s="1"/>
  <c r="B27" i="18"/>
  <c r="B26" i="18"/>
  <c r="B25" i="18"/>
  <c r="B24" i="18"/>
  <c r="B23" i="18"/>
  <c r="B22" i="18"/>
  <c r="B21" i="18"/>
  <c r="D32" i="18"/>
  <c r="B16" i="18"/>
  <c r="J1" i="18"/>
  <c r="C43" i="18"/>
  <c r="B175" i="18"/>
  <c r="B174" i="18"/>
  <c r="B173" i="18"/>
  <c r="B172" i="18"/>
  <c r="B171" i="18"/>
  <c r="C38" i="18"/>
  <c r="B170" i="18"/>
  <c r="C37" i="18"/>
  <c r="C61" i="18" s="1"/>
  <c r="C73" i="18" s="1"/>
  <c r="B169" i="18"/>
  <c r="B168" i="18"/>
  <c r="B167" i="18"/>
  <c r="B166" i="18"/>
  <c r="C33" i="18"/>
  <c r="C45" i="18" s="1"/>
  <c r="B165" i="18"/>
  <c r="C32" i="18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59" i="18" s="1"/>
  <c r="C83" i="18" s="1"/>
  <c r="C95" i="18" s="1"/>
  <c r="C107" i="18" s="1"/>
  <c r="C119" i="18" s="1"/>
  <c r="C131" i="18" s="1"/>
  <c r="C143" i="18" s="1"/>
  <c r="C155" i="18" s="1"/>
  <c r="C34" i="18"/>
  <c r="C46" i="18" s="1"/>
  <c r="C41" i="18"/>
  <c r="C53" i="18" s="1"/>
  <c r="D36" i="18"/>
  <c r="D60" i="18" s="1"/>
  <c r="D84" i="18" s="1"/>
  <c r="D96" i="18" s="1"/>
  <c r="D108" i="18" s="1"/>
  <c r="D120" i="18" s="1"/>
  <c r="D132" i="18" s="1"/>
  <c r="D144" i="18" s="1"/>
  <c r="D156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D35" i="18"/>
  <c r="D37" i="18"/>
  <c r="D40" i="18"/>
  <c r="D52" i="18" s="1"/>
  <c r="C72" i="18"/>
  <c r="D33" i="18"/>
  <c r="D57" i="18" s="1"/>
  <c r="D69" i="18" s="1"/>
  <c r="D34" i="18"/>
  <c r="D46" i="18" s="1"/>
  <c r="C54" i="18"/>
  <c r="C66" i="18"/>
  <c r="C90" i="18" s="1"/>
  <c r="C102" i="18" s="1"/>
  <c r="C114" i="18" s="1"/>
  <c r="C126" i="18" s="1"/>
  <c r="C138" i="18" s="1"/>
  <c r="C150" i="18" s="1"/>
  <c r="C162" i="18" s="1"/>
  <c r="D53" i="18"/>
  <c r="C85" i="18"/>
  <c r="C97" i="18" s="1"/>
  <c r="C109" i="18" s="1"/>
  <c r="C121" i="18" s="1"/>
  <c r="C133" i="18" s="1"/>
  <c r="C145" i="18" s="1"/>
  <c r="C157" i="18" s="1"/>
  <c r="C71" i="18"/>
  <c r="O139" i="18"/>
  <c r="O107" i="18"/>
  <c r="O175" i="18"/>
  <c r="P175" i="18" s="1"/>
  <c r="O91" i="18"/>
  <c r="P91" i="18" s="1"/>
  <c r="O99" i="18"/>
  <c r="O163" i="18"/>
  <c r="P163" i="18" s="1"/>
  <c r="O190" i="18"/>
  <c r="P190" i="18" s="1"/>
  <c r="O174" i="18"/>
  <c r="O126" i="18"/>
  <c r="P126" i="18" s="1"/>
  <c r="O110" i="18"/>
  <c r="O78" i="18"/>
  <c r="P78" i="18" s="1"/>
  <c r="O30" i="18"/>
  <c r="O173" i="18"/>
  <c r="O157" i="18"/>
  <c r="O125" i="18"/>
  <c r="O109" i="18"/>
  <c r="O77" i="18"/>
  <c r="O61" i="18"/>
  <c r="P61" i="18" s="1"/>
  <c r="O204" i="18"/>
  <c r="O188" i="18"/>
  <c r="O140" i="18"/>
  <c r="P140" i="18" s="1"/>
  <c r="O92" i="18"/>
  <c r="O60" i="18"/>
  <c r="P60" i="18" s="1"/>
  <c r="O44" i="18"/>
  <c r="O103" i="18"/>
  <c r="O167" i="18"/>
  <c r="P167" i="18" s="1"/>
  <c r="O183" i="18"/>
  <c r="O20" i="18"/>
  <c r="O84" i="18"/>
  <c r="O104" i="18"/>
  <c r="P104" i="18" s="1"/>
  <c r="O128" i="18"/>
  <c r="P128" i="18" s="1"/>
  <c r="O148" i="18"/>
  <c r="P148" i="18" s="1"/>
  <c r="O168" i="18"/>
  <c r="O192" i="18"/>
  <c r="O21" i="18"/>
  <c r="P21" i="18" s="1"/>
  <c r="O41" i="18"/>
  <c r="O65" i="18"/>
  <c r="O85" i="18"/>
  <c r="O105" i="18"/>
  <c r="O129" i="18"/>
  <c r="O149" i="18"/>
  <c r="O169" i="18"/>
  <c r="P169" i="18" s="1"/>
  <c r="O193" i="18"/>
  <c r="P193" i="18" s="1"/>
  <c r="O22" i="18"/>
  <c r="O42" i="18"/>
  <c r="P42" i="18" s="1"/>
  <c r="O66" i="18"/>
  <c r="O86" i="18"/>
  <c r="P86" i="18" s="1"/>
  <c r="O106" i="18"/>
  <c r="P106" i="18"/>
  <c r="O130" i="18"/>
  <c r="P130" i="18" s="1"/>
  <c r="O150" i="18"/>
  <c r="P150" i="18" s="1"/>
  <c r="O170" i="18"/>
  <c r="O194" i="18"/>
  <c r="O195" i="18"/>
  <c r="P195" i="18" s="1"/>
  <c r="O115" i="18"/>
  <c r="P115" i="18" s="1"/>
  <c r="O187" i="18"/>
  <c r="O27" i="18"/>
  <c r="O79" i="18"/>
  <c r="O43" i="18"/>
  <c r="O159" i="18"/>
  <c r="P152" i="18"/>
  <c r="O75" i="18"/>
  <c r="P65" i="18"/>
  <c r="O198" i="18"/>
  <c r="P198" i="18"/>
  <c r="O147" i="18"/>
  <c r="O51" i="18"/>
  <c r="O207" i="18"/>
  <c r="O171" i="18"/>
  <c r="P171" i="18" s="1"/>
  <c r="O211" i="18"/>
  <c r="P135" i="18"/>
  <c r="O58" i="18"/>
  <c r="O114" i="18"/>
  <c r="O166" i="18"/>
  <c r="P166" i="18" s="1"/>
  <c r="O83" i="18"/>
  <c r="P83" i="18" s="1"/>
  <c r="O203" i="18"/>
  <c r="P203" i="18" s="1"/>
  <c r="P147" i="18"/>
  <c r="P146" i="18"/>
  <c r="O95" i="18"/>
  <c r="P95" i="18" s="1"/>
  <c r="O63" i="18"/>
  <c r="P63" i="18" s="1"/>
  <c r="O111" i="18"/>
  <c r="P111" i="18" s="1"/>
  <c r="O131" i="18"/>
  <c r="P131" i="18" s="1"/>
  <c r="O186" i="18"/>
  <c r="O162" i="18"/>
  <c r="P162" i="18" s="1"/>
  <c r="O134" i="18"/>
  <c r="O102" i="18"/>
  <c r="P102" i="18" s="1"/>
  <c r="O82" i="18"/>
  <c r="O54" i="18"/>
  <c r="O34" i="18"/>
  <c r="O197" i="18"/>
  <c r="P197" i="18" s="1"/>
  <c r="O165" i="18"/>
  <c r="O137" i="18"/>
  <c r="P137" i="18" s="1"/>
  <c r="O117" i="18"/>
  <c r="P117" i="18" s="1"/>
  <c r="O69" i="18"/>
  <c r="P69" i="18" s="1"/>
  <c r="O37" i="18"/>
  <c r="P37" i="18" s="1"/>
  <c r="O200" i="18"/>
  <c r="P200" i="18" s="1"/>
  <c r="O176" i="18"/>
  <c r="P176" i="18" s="1"/>
  <c r="O144" i="18"/>
  <c r="O116" i="18"/>
  <c r="P116" i="18" s="1"/>
  <c r="O88" i="18"/>
  <c r="P88" i="18" s="1"/>
  <c r="O68" i="18"/>
  <c r="O36" i="18"/>
  <c r="O55" i="18"/>
  <c r="O151" i="18"/>
  <c r="P151" i="18" s="1"/>
  <c r="O31" i="18"/>
  <c r="O158" i="18"/>
  <c r="P158" i="18" s="1"/>
  <c r="O62" i="18"/>
  <c r="O205" i="18"/>
  <c r="P205" i="18" s="1"/>
  <c r="O45" i="18"/>
  <c r="P45" i="18" s="1"/>
  <c r="O172" i="18"/>
  <c r="P172" i="18" s="1"/>
  <c r="O124" i="18"/>
  <c r="O76" i="18"/>
  <c r="P76" i="18" s="1"/>
  <c r="O28" i="18"/>
  <c r="O127" i="18"/>
  <c r="P127" i="18" s="1"/>
  <c r="O40" i="18"/>
  <c r="P40" i="18" s="1"/>
  <c r="O143" i="18"/>
  <c r="P143" i="18"/>
  <c r="O155" i="18"/>
  <c r="O179" i="18"/>
  <c r="O182" i="18"/>
  <c r="P182" i="18"/>
  <c r="O154" i="18"/>
  <c r="P154" i="18" s="1"/>
  <c r="O122" i="18"/>
  <c r="P122" i="18" s="1"/>
  <c r="O74" i="18"/>
  <c r="O50" i="18"/>
  <c r="O26" i="18"/>
  <c r="P26" i="18" s="1"/>
  <c r="O185" i="18"/>
  <c r="P185" i="18" s="1"/>
  <c r="O161" i="18"/>
  <c r="O133" i="18"/>
  <c r="P133" i="18" s="1"/>
  <c r="O113" i="18"/>
  <c r="P113" i="18" s="1"/>
  <c r="O89" i="18"/>
  <c r="O57" i="18"/>
  <c r="O33" i="18"/>
  <c r="O196" i="18"/>
  <c r="P196" i="18" s="1"/>
  <c r="O164" i="18"/>
  <c r="O136" i="18"/>
  <c r="O112" i="18"/>
  <c r="O56" i="18"/>
  <c r="O32" i="18"/>
  <c r="P32" i="18" s="1"/>
  <c r="O71" i="18"/>
  <c r="O199" i="18"/>
  <c r="O47" i="18"/>
  <c r="O35" i="18"/>
  <c r="P35" i="18" s="1"/>
  <c r="O206" i="18"/>
  <c r="O142" i="18"/>
  <c r="P142" i="18" s="1"/>
  <c r="O94" i="18"/>
  <c r="P94" i="18" s="1"/>
  <c r="O46" i="18"/>
  <c r="P46" i="18" s="1"/>
  <c r="O189" i="18"/>
  <c r="P189" i="18" s="1"/>
  <c r="O141" i="18"/>
  <c r="P141" i="18" s="1"/>
  <c r="O93" i="18"/>
  <c r="O29" i="18"/>
  <c r="O156" i="18"/>
  <c r="P156" i="18" s="1"/>
  <c r="O108" i="18"/>
  <c r="O39" i="18"/>
  <c r="P39" i="18" s="1"/>
  <c r="O87" i="18"/>
  <c r="P87" i="18" s="1"/>
  <c r="O64" i="18"/>
  <c r="P64" i="18" s="1"/>
  <c r="P177" i="18"/>
  <c r="P208" i="18"/>
  <c r="P57" i="18"/>
  <c r="P165" i="18"/>
  <c r="P173" i="18"/>
  <c r="G28" i="29"/>
  <c r="E27" i="29"/>
  <c r="H28" i="29"/>
  <c r="D29" i="29"/>
  <c r="E25" i="29"/>
  <c r="H22" i="29"/>
  <c r="D23" i="29"/>
  <c r="H32" i="29"/>
  <c r="D30" i="29"/>
  <c r="E31" i="29"/>
  <c r="E23" i="29"/>
  <c r="G32" i="29"/>
  <c r="H37" i="29"/>
  <c r="D24" i="29"/>
  <c r="G36" i="29"/>
  <c r="E26" i="29"/>
  <c r="E29" i="29"/>
  <c r="G24" i="29"/>
  <c r="H26" i="29"/>
  <c r="H27" i="29"/>
  <c r="H23" i="29"/>
  <c r="D36" i="29"/>
  <c r="H29" i="29"/>
  <c r="E35" i="29"/>
  <c r="H30" i="29"/>
  <c r="D25" i="29"/>
  <c r="G23" i="29"/>
  <c r="E33" i="29"/>
  <c r="G31" i="29"/>
  <c r="H33" i="29"/>
  <c r="H25" i="29"/>
  <c r="H36" i="29"/>
  <c r="D31" i="29"/>
  <c r="E21" i="29"/>
  <c r="E32" i="29"/>
  <c r="G35" i="29"/>
  <c r="E24" i="29"/>
  <c r="D26" i="29"/>
  <c r="G22" i="29"/>
  <c r="D33" i="29"/>
  <c r="E22" i="29"/>
  <c r="H35" i="29"/>
  <c r="G37" i="29"/>
  <c r="E37" i="29"/>
  <c r="D28" i="29"/>
  <c r="G29" i="29"/>
  <c r="E30" i="29"/>
  <c r="D37" i="29"/>
  <c r="D21" i="29"/>
  <c r="E36" i="29"/>
  <c r="G27" i="29"/>
  <c r="D32" i="29"/>
  <c r="G26" i="29"/>
  <c r="D27" i="29"/>
  <c r="G30" i="29"/>
  <c r="D22" i="29"/>
  <c r="G21" i="29"/>
  <c r="H31" i="29"/>
  <c r="H24" i="29"/>
  <c r="H21" i="29"/>
  <c r="D35" i="29"/>
  <c r="G33" i="29"/>
  <c r="E28" i="29"/>
  <c r="G25" i="29"/>
  <c r="C49" i="18" l="1"/>
  <c r="C58" i="18"/>
  <c r="C82" i="18" s="1"/>
  <c r="C94" i="18" s="1"/>
  <c r="C106" i="18" s="1"/>
  <c r="C118" i="18" s="1"/>
  <c r="C130" i="18" s="1"/>
  <c r="C142" i="18" s="1"/>
  <c r="C154" i="18" s="1"/>
  <c r="D45" i="18"/>
  <c r="C63" i="18"/>
  <c r="C78" i="18"/>
  <c r="C65" i="18"/>
  <c r="C89" i="18" s="1"/>
  <c r="C101" i="18" s="1"/>
  <c r="C113" i="18" s="1"/>
  <c r="C125" i="18" s="1"/>
  <c r="C137" i="18" s="1"/>
  <c r="C149" i="18" s="1"/>
  <c r="C161" i="18" s="1"/>
  <c r="C57" i="18"/>
  <c r="C81" i="18" s="1"/>
  <c r="C93" i="18" s="1"/>
  <c r="C105" i="18" s="1"/>
  <c r="C117" i="18" s="1"/>
  <c r="C129" i="18" s="1"/>
  <c r="C141" i="18" s="1"/>
  <c r="C153" i="18" s="1"/>
  <c r="C165" i="18" s="1"/>
  <c r="D55" i="18"/>
  <c r="D63" i="18"/>
  <c r="D75" i="18" s="1"/>
  <c r="D62" i="18"/>
  <c r="D74" i="18" s="1"/>
  <c r="D64" i="18"/>
  <c r="D76" i="18" s="1"/>
  <c r="D54" i="18"/>
  <c r="D48" i="18"/>
  <c r="D81" i="18"/>
  <c r="D93" i="18" s="1"/>
  <c r="D105" i="18" s="1"/>
  <c r="D117" i="18" s="1"/>
  <c r="D129" i="18" s="1"/>
  <c r="D141" i="18" s="1"/>
  <c r="D153" i="18" s="1"/>
  <c r="D165" i="18" s="1"/>
  <c r="D77" i="18"/>
  <c r="J38" i="29"/>
  <c r="P56" i="18"/>
  <c r="E10" i="29"/>
  <c r="F10" i="29"/>
  <c r="E20" i="29"/>
  <c r="D20" i="29"/>
  <c r="C173" i="18"/>
  <c r="C185" i="18"/>
  <c r="C197" i="18" s="1"/>
  <c r="C209" i="18" s="1"/>
  <c r="C180" i="18"/>
  <c r="C192" i="18" s="1"/>
  <c r="C204" i="18" s="1"/>
  <c r="C168" i="18"/>
  <c r="D91" i="18"/>
  <c r="D103" i="18" s="1"/>
  <c r="D115" i="18" s="1"/>
  <c r="D127" i="18" s="1"/>
  <c r="D139" i="18" s="1"/>
  <c r="D151" i="18" s="1"/>
  <c r="D163" i="18" s="1"/>
  <c r="D187" i="18" s="1"/>
  <c r="D199" i="18" s="1"/>
  <c r="D211" i="18" s="1"/>
  <c r="D58" i="18"/>
  <c r="C48" i="18"/>
  <c r="D72" i="18"/>
  <c r="C47" i="18"/>
  <c r="P124" i="18"/>
  <c r="P34" i="18"/>
  <c r="P207" i="18"/>
  <c r="P183" i="18"/>
  <c r="P199" i="18"/>
  <c r="P136" i="18"/>
  <c r="P55" i="18"/>
  <c r="P54" i="18"/>
  <c r="P51" i="18"/>
  <c r="P109" i="18"/>
  <c r="P30" i="18"/>
  <c r="P48" i="18"/>
  <c r="P62" i="18"/>
  <c r="P187" i="18"/>
  <c r="P105" i="18"/>
  <c r="P89" i="18"/>
  <c r="P50" i="18"/>
  <c r="P179" i="18"/>
  <c r="P31" i="18"/>
  <c r="P144" i="18"/>
  <c r="P82" i="18"/>
  <c r="P79" i="18"/>
  <c r="P22" i="18"/>
  <c r="P149" i="18"/>
  <c r="P168" i="18"/>
  <c r="P170" i="18"/>
  <c r="P174" i="18"/>
  <c r="P202" i="18"/>
  <c r="P120" i="18"/>
  <c r="G34" i="29"/>
  <c r="E38" i="29"/>
  <c r="F29" i="29"/>
  <c r="I29" i="29" s="1"/>
  <c r="K29" i="29" s="1"/>
  <c r="F31" i="29"/>
  <c r="I31" i="29" s="1"/>
  <c r="K31" i="29" s="1"/>
  <c r="F22" i="29"/>
  <c r="I22" i="29" s="1"/>
  <c r="K22" i="29" s="1"/>
  <c r="F23" i="29"/>
  <c r="I23" i="29" s="1"/>
  <c r="K23" i="29" s="1"/>
  <c r="F36" i="29"/>
  <c r="I36" i="29" s="1"/>
  <c r="K36" i="29" s="1"/>
  <c r="G38" i="29"/>
  <c r="F25" i="29"/>
  <c r="I25" i="29" s="1"/>
  <c r="K25" i="29" s="1"/>
  <c r="F30" i="29"/>
  <c r="I30" i="29" s="1"/>
  <c r="K30" i="29" s="1"/>
  <c r="F27" i="29"/>
  <c r="I27" i="29" s="1"/>
  <c r="K27" i="29" s="1"/>
  <c r="F21" i="29"/>
  <c r="D34" i="29"/>
  <c r="D38" i="29"/>
  <c r="F35" i="29"/>
  <c r="F33" i="29"/>
  <c r="I33" i="29" s="1"/>
  <c r="K33" i="29" s="1"/>
  <c r="F32" i="29"/>
  <c r="I32" i="29" s="1"/>
  <c r="K32" i="29" s="1"/>
  <c r="H38" i="29"/>
  <c r="F37" i="29"/>
  <c r="I37" i="29" s="1"/>
  <c r="K37" i="29" s="1"/>
  <c r="E34" i="29"/>
  <c r="F24" i="29"/>
  <c r="I24" i="29" s="1"/>
  <c r="K24" i="29" s="1"/>
  <c r="H34" i="29"/>
  <c r="H39" i="29" s="1"/>
  <c r="F28" i="29"/>
  <c r="I28" i="29" s="1"/>
  <c r="K28" i="29" s="1"/>
  <c r="F26" i="29"/>
  <c r="I26" i="29" s="1"/>
  <c r="K26" i="29" s="1"/>
  <c r="C181" i="18"/>
  <c r="C193" i="18" s="1"/>
  <c r="C205" i="18" s="1"/>
  <c r="C169" i="18"/>
  <c r="C167" i="18"/>
  <c r="C179" i="18"/>
  <c r="C191" i="18" s="1"/>
  <c r="C203" i="18" s="1"/>
  <c r="J34" i="29"/>
  <c r="J39" i="29" s="1"/>
  <c r="D168" i="18"/>
  <c r="D180" i="18"/>
  <c r="D192" i="18" s="1"/>
  <c r="D204" i="18" s="1"/>
  <c r="C186" i="18"/>
  <c r="C198" i="18" s="1"/>
  <c r="C210" i="18" s="1"/>
  <c r="C174" i="18"/>
  <c r="C87" i="18"/>
  <c r="C99" i="18" s="1"/>
  <c r="C111" i="18" s="1"/>
  <c r="C123" i="18" s="1"/>
  <c r="C135" i="18" s="1"/>
  <c r="C147" i="18" s="1"/>
  <c r="C159" i="18" s="1"/>
  <c r="C75" i="18"/>
  <c r="D173" i="18"/>
  <c r="D44" i="18"/>
  <c r="D56" i="18"/>
  <c r="D47" i="18"/>
  <c r="D59" i="18"/>
  <c r="C55" i="18"/>
  <c r="C67" i="18"/>
  <c r="D90" i="18"/>
  <c r="D102" i="18" s="1"/>
  <c r="D114" i="18" s="1"/>
  <c r="D126" i="18" s="1"/>
  <c r="D138" i="18" s="1"/>
  <c r="D150" i="18" s="1"/>
  <c r="D162" i="18" s="1"/>
  <c r="D78" i="18"/>
  <c r="P29" i="18"/>
  <c r="P33" i="18"/>
  <c r="P186" i="18"/>
  <c r="C52" i="18"/>
  <c r="C64" i="18"/>
  <c r="C56" i="18"/>
  <c r="C44" i="18"/>
  <c r="P41" i="18"/>
  <c r="P108" i="18"/>
  <c r="P206" i="18"/>
  <c r="P159" i="18"/>
  <c r="P77" i="18"/>
  <c r="D61" i="18"/>
  <c r="D49" i="18"/>
  <c r="C50" i="18"/>
  <c r="C62" i="18"/>
  <c r="P85" i="18"/>
  <c r="P194" i="18"/>
  <c r="P139" i="18"/>
  <c r="P67" i="18"/>
  <c r="P164" i="18"/>
  <c r="P160" i="18"/>
  <c r="O123" i="18"/>
  <c r="P123" i="18" s="1"/>
  <c r="O118" i="18"/>
  <c r="O70" i="18"/>
  <c r="P70" i="18" s="1"/>
  <c r="O201" i="18"/>
  <c r="P201" i="18" s="1"/>
  <c r="O153" i="18"/>
  <c r="O101" i="18"/>
  <c r="O53" i="18"/>
  <c r="P53" i="18" s="1"/>
  <c r="O184" i="18"/>
  <c r="P184" i="18" s="1"/>
  <c r="O132" i="18"/>
  <c r="O80" i="18"/>
  <c r="P80" i="18" s="1"/>
  <c r="O24" i="18"/>
  <c r="P24" i="18" s="1"/>
  <c r="P107" i="18"/>
  <c r="P74" i="18"/>
  <c r="G212" i="18"/>
  <c r="P58" i="18"/>
  <c r="P66" i="18"/>
  <c r="P211" i="18"/>
  <c r="P84" i="18"/>
  <c r="P92" i="18"/>
  <c r="P96" i="18"/>
  <c r="P110" i="18"/>
  <c r="P114" i="18"/>
  <c r="P118" i="18"/>
  <c r="P125" i="18"/>
  <c r="P129" i="18"/>
  <c r="P145" i="18"/>
  <c r="P153" i="18"/>
  <c r="P157" i="18"/>
  <c r="P161" i="18"/>
  <c r="P180" i="18"/>
  <c r="P188" i="18"/>
  <c r="P192" i="18"/>
  <c r="P204" i="18"/>
  <c r="P99" i="18"/>
  <c r="P103" i="18"/>
  <c r="P23" i="18"/>
  <c r="P27" i="18"/>
  <c r="P43" i="18"/>
  <c r="P47" i="18"/>
  <c r="P75" i="18"/>
  <c r="P93" i="18"/>
  <c r="P100" i="18"/>
  <c r="P134" i="18"/>
  <c r="P138" i="18"/>
  <c r="P209" i="18"/>
  <c r="P20" i="18"/>
  <c r="P28" i="18"/>
  <c r="P36" i="18"/>
  <c r="P44" i="18"/>
  <c r="P52" i="18"/>
  <c r="P68" i="18"/>
  <c r="P72" i="18"/>
  <c r="P101" i="18"/>
  <c r="P112" i="18"/>
  <c r="P132" i="18"/>
  <c r="P155" i="18"/>
  <c r="P178" i="18"/>
  <c r="P25" i="18"/>
  <c r="P49" i="18"/>
  <c r="P73" i="18"/>
  <c r="D175" i="18" l="1"/>
  <c r="C77" i="18"/>
  <c r="C70" i="18"/>
  <c r="D87" i="18"/>
  <c r="D99" i="18" s="1"/>
  <c r="D111" i="18" s="1"/>
  <c r="D123" i="18" s="1"/>
  <c r="D135" i="18" s="1"/>
  <c r="D147" i="18" s="1"/>
  <c r="D159" i="18" s="1"/>
  <c r="D88" i="18"/>
  <c r="D100" i="18" s="1"/>
  <c r="D112" i="18" s="1"/>
  <c r="D124" i="18" s="1"/>
  <c r="D136" i="18" s="1"/>
  <c r="D148" i="18" s="1"/>
  <c r="D160" i="18" s="1"/>
  <c r="D172" i="18" s="1"/>
  <c r="D86" i="18"/>
  <c r="D98" i="18" s="1"/>
  <c r="D110" i="18" s="1"/>
  <c r="D122" i="18" s="1"/>
  <c r="D134" i="18" s="1"/>
  <c r="D146" i="18" s="1"/>
  <c r="D158" i="18" s="1"/>
  <c r="D182" i="18" s="1"/>
  <c r="D194" i="18" s="1"/>
  <c r="D206" i="18" s="1"/>
  <c r="C69" i="18"/>
  <c r="C177" i="18"/>
  <c r="C189" i="18" s="1"/>
  <c r="C201" i="18" s="1"/>
  <c r="D177" i="18"/>
  <c r="D189" i="18" s="1"/>
  <c r="D201" i="18" s="1"/>
  <c r="E39" i="29"/>
  <c r="O13" i="18"/>
  <c r="D184" i="18"/>
  <c r="D196" i="18" s="1"/>
  <c r="D208" i="18" s="1"/>
  <c r="D82" i="18"/>
  <c r="D94" i="18" s="1"/>
  <c r="D106" i="18" s="1"/>
  <c r="D118" i="18" s="1"/>
  <c r="D130" i="18" s="1"/>
  <c r="D142" i="18" s="1"/>
  <c r="D154" i="18" s="1"/>
  <c r="D70" i="18"/>
  <c r="C74" i="18"/>
  <c r="C86" i="18"/>
  <c r="C98" i="18" s="1"/>
  <c r="C110" i="18" s="1"/>
  <c r="C122" i="18" s="1"/>
  <c r="C134" i="18" s="1"/>
  <c r="C146" i="18" s="1"/>
  <c r="C158" i="18" s="1"/>
  <c r="D83" i="18"/>
  <c r="D95" i="18" s="1"/>
  <c r="D107" i="18" s="1"/>
  <c r="D119" i="18" s="1"/>
  <c r="D131" i="18" s="1"/>
  <c r="D143" i="18" s="1"/>
  <c r="D155" i="18" s="1"/>
  <c r="D71" i="18"/>
  <c r="I21" i="29"/>
  <c r="F34" i="29"/>
  <c r="O14" i="18"/>
  <c r="C178" i="18"/>
  <c r="C190" i="18" s="1"/>
  <c r="C202" i="18" s="1"/>
  <c r="C166" i="18"/>
  <c r="D186" i="18"/>
  <c r="D198" i="18" s="1"/>
  <c r="D210" i="18" s="1"/>
  <c r="D174" i="18"/>
  <c r="D171" i="18"/>
  <c r="D183" i="18"/>
  <c r="D195" i="18" s="1"/>
  <c r="D207" i="18" s="1"/>
  <c r="C183" i="18"/>
  <c r="C195" i="18" s="1"/>
  <c r="C207" i="18" s="1"/>
  <c r="C171" i="18"/>
  <c r="F38" i="29"/>
  <c r="I35" i="29"/>
  <c r="C76" i="18"/>
  <c r="C88" i="18"/>
  <c r="C100" i="18" s="1"/>
  <c r="C112" i="18" s="1"/>
  <c r="C124" i="18" s="1"/>
  <c r="C136" i="18" s="1"/>
  <c r="C148" i="18" s="1"/>
  <c r="C160" i="18" s="1"/>
  <c r="C91" i="18"/>
  <c r="C103" i="18" s="1"/>
  <c r="C115" i="18" s="1"/>
  <c r="C127" i="18" s="1"/>
  <c r="C139" i="18" s="1"/>
  <c r="C151" i="18" s="1"/>
  <c r="C163" i="18" s="1"/>
  <c r="C79" i="18"/>
  <c r="D73" i="18"/>
  <c r="D85" i="18"/>
  <c r="D97" i="18" s="1"/>
  <c r="D109" i="18" s="1"/>
  <c r="D121" i="18" s="1"/>
  <c r="D133" i="18" s="1"/>
  <c r="D145" i="18" s="1"/>
  <c r="D157" i="18" s="1"/>
  <c r="C80" i="18"/>
  <c r="C92" i="18" s="1"/>
  <c r="C104" i="18" s="1"/>
  <c r="C116" i="18" s="1"/>
  <c r="C128" i="18" s="1"/>
  <c r="C140" i="18" s="1"/>
  <c r="C152" i="18" s="1"/>
  <c r="C68" i="18"/>
  <c r="D68" i="18"/>
  <c r="D80" i="18"/>
  <c r="D92" i="18" s="1"/>
  <c r="D104" i="18" s="1"/>
  <c r="D116" i="18" s="1"/>
  <c r="D128" i="18" s="1"/>
  <c r="D140" i="18" s="1"/>
  <c r="D152" i="18" s="1"/>
  <c r="D39" i="29"/>
  <c r="G39" i="29"/>
  <c r="P14" i="18"/>
  <c r="P212" i="18"/>
  <c r="P13" i="18"/>
  <c r="D170" i="18" l="1"/>
  <c r="F39" i="29"/>
  <c r="D178" i="18"/>
  <c r="D190" i="18" s="1"/>
  <c r="D202" i="18" s="1"/>
  <c r="D166" i="18"/>
  <c r="C172" i="18"/>
  <c r="C184" i="18"/>
  <c r="C196" i="18" s="1"/>
  <c r="C208" i="18" s="1"/>
  <c r="K35" i="29"/>
  <c r="I38" i="29"/>
  <c r="K38" i="29" s="1"/>
  <c r="C170" i="18"/>
  <c r="C182" i="18"/>
  <c r="C194" i="18" s="1"/>
  <c r="C206" i="18" s="1"/>
  <c r="I34" i="29"/>
  <c r="K21" i="29"/>
  <c r="C164" i="18"/>
  <c r="C176" i="18"/>
  <c r="C188" i="18" s="1"/>
  <c r="C200" i="18" s="1"/>
  <c r="D164" i="18"/>
  <c r="D176" i="18"/>
  <c r="D188" i="18" s="1"/>
  <c r="D200" i="18" s="1"/>
  <c r="D181" i="18"/>
  <c r="D193" i="18" s="1"/>
  <c r="D205" i="18" s="1"/>
  <c r="D169" i="18"/>
  <c r="C187" i="18"/>
  <c r="C199" i="18" s="1"/>
  <c r="C211" i="18" s="1"/>
  <c r="C175" i="18"/>
  <c r="D179" i="18"/>
  <c r="D191" i="18" s="1"/>
  <c r="D203" i="18" s="1"/>
  <c r="D167" i="18"/>
  <c r="K34" i="29" l="1"/>
  <c r="I39" i="29"/>
  <c r="K39" i="29" l="1"/>
  <c r="E11" i="29"/>
  <c r="K94" i="18" l="1"/>
  <c r="K144" i="18"/>
  <c r="K31" i="18"/>
  <c r="K148" i="18"/>
  <c r="K110" i="18"/>
  <c r="K155" i="18"/>
  <c r="K120" i="18"/>
  <c r="K41" i="18"/>
  <c r="K90" i="18"/>
  <c r="K83" i="18"/>
  <c r="K157" i="18"/>
  <c r="K112" i="18"/>
  <c r="K87" i="18"/>
  <c r="K57" i="18"/>
  <c r="K30" i="18"/>
  <c r="K104" i="18"/>
  <c r="K162" i="18"/>
  <c r="K21" i="18"/>
  <c r="K49" i="18"/>
  <c r="K179" i="18"/>
  <c r="K199" i="18"/>
  <c r="K208" i="18"/>
  <c r="K125" i="18"/>
  <c r="K152" i="18"/>
  <c r="K154" i="18"/>
  <c r="K55" i="18"/>
  <c r="K47" i="18"/>
  <c r="K129" i="18"/>
  <c r="K153" i="18"/>
  <c r="K74" i="18"/>
  <c r="K177" i="18"/>
  <c r="K184" i="18"/>
  <c r="K209" i="18"/>
  <c r="K42" i="18"/>
  <c r="K174" i="18"/>
  <c r="K186" i="18"/>
  <c r="K170" i="18"/>
  <c r="K158" i="18"/>
  <c r="K145" i="18"/>
  <c r="K205" i="18"/>
  <c r="K139" i="18"/>
  <c r="K27" i="18"/>
  <c r="K85" i="18"/>
  <c r="K137" i="18"/>
  <c r="K43" i="18"/>
  <c r="K165" i="18"/>
  <c r="K84" i="18"/>
  <c r="K25" i="18"/>
  <c r="K207" i="18"/>
  <c r="K69" i="18"/>
  <c r="K91" i="18"/>
  <c r="K192" i="18"/>
  <c r="K119" i="18"/>
  <c r="K122" i="18"/>
  <c r="K23" i="18"/>
  <c r="K77" i="18"/>
  <c r="K48" i="18"/>
  <c r="K39" i="18"/>
  <c r="K178" i="18"/>
  <c r="K45" i="18"/>
  <c r="K175" i="18"/>
  <c r="K126" i="18"/>
  <c r="K100" i="18"/>
  <c r="K52" i="18"/>
  <c r="K73" i="18"/>
  <c r="K28" i="18"/>
  <c r="K80" i="18"/>
  <c r="K203" i="18"/>
  <c r="K181" i="18"/>
  <c r="K130" i="18"/>
  <c r="K62" i="18"/>
  <c r="K34" i="18"/>
  <c r="K40" i="18"/>
  <c r="K206" i="18"/>
  <c r="K33" i="18"/>
  <c r="K20" i="18"/>
  <c r="K81" i="18"/>
  <c r="K92" i="18"/>
  <c r="K189" i="18"/>
  <c r="K75" i="18"/>
  <c r="K60" i="18"/>
  <c r="K151" i="18"/>
  <c r="K65" i="18"/>
  <c r="K194" i="18"/>
  <c r="K160" i="18"/>
  <c r="K99" i="18"/>
  <c r="K118" i="18"/>
  <c r="K136" i="18"/>
  <c r="K134" i="18"/>
  <c r="K124" i="18"/>
  <c r="K173" i="18"/>
  <c r="K59" i="18"/>
  <c r="K68" i="18"/>
  <c r="K95" i="18"/>
  <c r="K97" i="18"/>
  <c r="K117" i="18"/>
  <c r="K24" i="18"/>
  <c r="K197" i="18"/>
  <c r="K191" i="18"/>
  <c r="K64" i="18"/>
  <c r="K121" i="18"/>
  <c r="K26" i="18"/>
  <c r="K56" i="18"/>
  <c r="K71" i="18"/>
  <c r="K146" i="18"/>
  <c r="K180" i="18"/>
  <c r="K159" i="18"/>
  <c r="K185" i="18"/>
  <c r="K98" i="18"/>
  <c r="K172" i="18"/>
  <c r="K169" i="18"/>
  <c r="K58" i="18"/>
  <c r="K44" i="18"/>
  <c r="K102" i="18"/>
  <c r="K66" i="18"/>
  <c r="K127" i="18"/>
  <c r="K67" i="18"/>
  <c r="K63" i="18"/>
  <c r="K142" i="18"/>
  <c r="K38" i="18"/>
  <c r="K61" i="18"/>
  <c r="K156" i="18"/>
  <c r="K141" i="18"/>
  <c r="K109" i="18"/>
  <c r="K210" i="18"/>
  <c r="K143" i="18"/>
  <c r="K88" i="18"/>
  <c r="K35" i="18"/>
  <c r="K128" i="18"/>
  <c r="K164" i="18"/>
  <c r="K201" i="18"/>
  <c r="K106" i="18"/>
  <c r="K96" i="18"/>
  <c r="K161" i="18"/>
  <c r="K149" i="18"/>
  <c r="K36" i="18"/>
  <c r="K133" i="18"/>
  <c r="K187" i="18"/>
  <c r="K46" i="18"/>
  <c r="K211" i="18"/>
  <c r="K168" i="18"/>
  <c r="K163" i="18"/>
  <c r="K114" i="18"/>
  <c r="K204" i="18"/>
  <c r="K171" i="18"/>
  <c r="K200" i="18"/>
  <c r="K188" i="18"/>
  <c r="K108" i="18"/>
  <c r="K202" i="18"/>
  <c r="K70" i="18"/>
  <c r="K116" i="18"/>
  <c r="K131" i="18"/>
  <c r="K115" i="18"/>
  <c r="K22" i="18"/>
  <c r="K140" i="18"/>
  <c r="K111" i="18"/>
  <c r="K105" i="18"/>
  <c r="K50" i="18"/>
  <c r="K132" i="18"/>
  <c r="K190" i="18"/>
  <c r="K93" i="18"/>
  <c r="K107" i="18"/>
  <c r="K113" i="18"/>
  <c r="E13" i="29"/>
  <c r="K53" i="18"/>
  <c r="K150" i="18"/>
  <c r="K78" i="18"/>
  <c r="K29" i="18"/>
  <c r="K195" i="18"/>
  <c r="K176" i="18"/>
  <c r="K32" i="18"/>
  <c r="K167" i="18"/>
  <c r="K72" i="18"/>
  <c r="K135" i="18"/>
  <c r="K37" i="18"/>
  <c r="K147" i="18"/>
  <c r="K138" i="18"/>
  <c r="K51" i="18"/>
  <c r="K123" i="18"/>
  <c r="K89" i="18"/>
  <c r="K86" i="18"/>
  <c r="K54" i="18"/>
  <c r="K103" i="18"/>
  <c r="K82" i="18"/>
  <c r="K183" i="18"/>
  <c r="K166" i="18"/>
  <c r="K101" i="18"/>
  <c r="K79" i="18"/>
  <c r="K196" i="18"/>
  <c r="K193" i="18"/>
  <c r="K198" i="18"/>
  <c r="K76" i="18"/>
  <c r="K182" i="18"/>
  <c r="K14" i="18" l="1"/>
  <c r="K212" i="18"/>
  <c r="K13" i="18"/>
  <c r="F12" i="29" l="1"/>
  <c r="I81" i="18" l="1"/>
  <c r="J81" i="18" s="1"/>
  <c r="L81" i="18" s="1"/>
  <c r="I97" i="18"/>
  <c r="J97" i="18" s="1"/>
  <c r="L97" i="18" s="1"/>
  <c r="I124" i="18"/>
  <c r="J124" i="18" s="1"/>
  <c r="L124" i="18" s="1"/>
  <c r="I181" i="18"/>
  <c r="J181" i="18" s="1"/>
  <c r="L181" i="18" s="1"/>
  <c r="I42" i="18"/>
  <c r="J42" i="18" s="1"/>
  <c r="L42" i="18" s="1"/>
  <c r="I31" i="18"/>
  <c r="J31" i="18" s="1"/>
  <c r="L31" i="18" s="1"/>
  <c r="I156" i="18"/>
  <c r="J156" i="18" s="1"/>
  <c r="L156" i="18" s="1"/>
  <c r="I70" i="18"/>
  <c r="J70" i="18" s="1"/>
  <c r="L70" i="18" s="1"/>
  <c r="I36" i="18"/>
  <c r="J36" i="18" s="1"/>
  <c r="L36" i="18" s="1"/>
  <c r="I176" i="18"/>
  <c r="J176" i="18" s="1"/>
  <c r="L176" i="18" s="1"/>
  <c r="I71" i="18"/>
  <c r="J71" i="18" s="1"/>
  <c r="L71" i="18" s="1"/>
  <c r="I64" i="18"/>
  <c r="J64" i="18" s="1"/>
  <c r="L64" i="18" s="1"/>
  <c r="I179" i="18"/>
  <c r="J179" i="18" s="1"/>
  <c r="L179" i="18" s="1"/>
  <c r="I98" i="18"/>
  <c r="J98" i="18" s="1"/>
  <c r="L98" i="18" s="1"/>
  <c r="I191" i="18"/>
  <c r="J191" i="18" s="1"/>
  <c r="L191" i="18" s="1"/>
  <c r="I58" i="18"/>
  <c r="J58" i="18" s="1"/>
  <c r="L58" i="18" s="1"/>
  <c r="I171" i="18"/>
  <c r="J171" i="18" s="1"/>
  <c r="L171" i="18" s="1"/>
  <c r="I117" i="18"/>
  <c r="J117" i="18" s="1"/>
  <c r="L117" i="18" s="1"/>
  <c r="I30" i="18"/>
  <c r="J30" i="18" s="1"/>
  <c r="L30" i="18" s="1"/>
  <c r="I91" i="18"/>
  <c r="J91" i="18" s="1"/>
  <c r="L91" i="18" s="1"/>
  <c r="I189" i="18"/>
  <c r="J189" i="18" s="1"/>
  <c r="L189" i="18" s="1"/>
  <c r="I184" i="18"/>
  <c r="J184" i="18" s="1"/>
  <c r="L184" i="18" s="1"/>
  <c r="I152" i="18"/>
  <c r="J152" i="18" s="1"/>
  <c r="L152" i="18" s="1"/>
  <c r="I208" i="18"/>
  <c r="J208" i="18" s="1"/>
  <c r="L208" i="18" s="1"/>
  <c r="I134" i="18"/>
  <c r="J134" i="18" s="1"/>
  <c r="L134" i="18" s="1"/>
  <c r="I89" i="18"/>
  <c r="J89" i="18" s="1"/>
  <c r="L89" i="18" s="1"/>
  <c r="I183" i="18"/>
  <c r="J183" i="18" s="1"/>
  <c r="L183" i="18" s="1"/>
  <c r="I87" i="18"/>
  <c r="J87" i="18" s="1"/>
  <c r="L87" i="18" s="1"/>
  <c r="I61" i="18"/>
  <c r="J61" i="18" s="1"/>
  <c r="L61" i="18" s="1"/>
  <c r="I175" i="18"/>
  <c r="J175" i="18" s="1"/>
  <c r="L175" i="18" s="1"/>
  <c r="I132" i="18"/>
  <c r="J132" i="18" s="1"/>
  <c r="L132" i="18" s="1"/>
  <c r="I25" i="18"/>
  <c r="J25" i="18" s="1"/>
  <c r="L25" i="18" s="1"/>
  <c r="I111" i="18"/>
  <c r="J111" i="18" s="1"/>
  <c r="L111" i="18" s="1"/>
  <c r="I54" i="18"/>
  <c r="J54" i="18" s="1"/>
  <c r="L54" i="18" s="1"/>
  <c r="I192" i="18"/>
  <c r="J192" i="18" s="1"/>
  <c r="L192" i="18" s="1"/>
  <c r="I86" i="18"/>
  <c r="J86" i="18" s="1"/>
  <c r="L86" i="18" s="1"/>
  <c r="I116" i="18"/>
  <c r="J116" i="18" s="1"/>
  <c r="L116" i="18" s="1"/>
  <c r="I59" i="18"/>
  <c r="J59" i="18" s="1"/>
  <c r="L59" i="18" s="1"/>
  <c r="I27" i="18"/>
  <c r="J27" i="18" s="1"/>
  <c r="L27" i="18" s="1"/>
  <c r="I83" i="18"/>
  <c r="J83" i="18" s="1"/>
  <c r="L83" i="18" s="1"/>
  <c r="I92" i="18"/>
  <c r="J92" i="18" s="1"/>
  <c r="L92" i="18" s="1"/>
  <c r="I77" i="18"/>
  <c r="J77" i="18" s="1"/>
  <c r="L77" i="18" s="1"/>
  <c r="I49" i="18"/>
  <c r="J49" i="18" s="1"/>
  <c r="L49" i="18" s="1"/>
  <c r="I84" i="18"/>
  <c r="J84" i="18" s="1"/>
  <c r="L84" i="18" s="1"/>
  <c r="I161" i="18"/>
  <c r="J161" i="18" s="1"/>
  <c r="L161" i="18" s="1"/>
  <c r="I180" i="18"/>
  <c r="J180" i="18" s="1"/>
  <c r="L180" i="18" s="1"/>
  <c r="I39" i="18"/>
  <c r="J39" i="18" s="1"/>
  <c r="L39" i="18" s="1"/>
  <c r="I186" i="18"/>
  <c r="J186" i="18" s="1"/>
  <c r="L186" i="18" s="1"/>
  <c r="I50" i="18"/>
  <c r="J50" i="18" s="1"/>
  <c r="L50" i="18" s="1"/>
  <c r="I172" i="18"/>
  <c r="J172" i="18" s="1"/>
  <c r="L172" i="18" s="1"/>
  <c r="I104" i="18"/>
  <c r="J104" i="18" s="1"/>
  <c r="L104" i="18" s="1"/>
  <c r="I188" i="18"/>
  <c r="J188" i="18" s="1"/>
  <c r="L188" i="18" s="1"/>
  <c r="I57" i="18"/>
  <c r="J57" i="18" s="1"/>
  <c r="L57" i="18" s="1"/>
  <c r="I99" i="18"/>
  <c r="J99" i="18" s="1"/>
  <c r="L99" i="18" s="1"/>
  <c r="I185" i="18"/>
  <c r="J185" i="18" s="1"/>
  <c r="L185" i="18" s="1"/>
  <c r="I29" i="18"/>
  <c r="J29" i="18" s="1"/>
  <c r="L29" i="18" s="1"/>
  <c r="I62" i="18"/>
  <c r="J62" i="18" s="1"/>
  <c r="L62" i="18" s="1"/>
  <c r="I178" i="18"/>
  <c r="J178" i="18" s="1"/>
  <c r="L178" i="18" s="1"/>
  <c r="I108" i="18"/>
  <c r="J108" i="18" s="1"/>
  <c r="L108" i="18" s="1"/>
  <c r="I38" i="18"/>
  <c r="J38" i="18" s="1"/>
  <c r="L38" i="18" s="1"/>
  <c r="I204" i="18"/>
  <c r="J204" i="18" s="1"/>
  <c r="L204" i="18" s="1"/>
  <c r="I162" i="18"/>
  <c r="J162" i="18" s="1"/>
  <c r="L162" i="18" s="1"/>
  <c r="I107" i="18"/>
  <c r="J107" i="18" s="1"/>
  <c r="L107" i="18" s="1"/>
  <c r="I128" i="18"/>
  <c r="J128" i="18" s="1"/>
  <c r="L128" i="18" s="1"/>
  <c r="I105" i="18"/>
  <c r="J105" i="18" s="1"/>
  <c r="L105" i="18" s="1"/>
  <c r="I60" i="18"/>
  <c r="J60" i="18" s="1"/>
  <c r="L60" i="18" s="1"/>
  <c r="I187" i="18"/>
  <c r="J187" i="18" s="1"/>
  <c r="L187" i="18" s="1"/>
  <c r="I195" i="18"/>
  <c r="J195" i="18" s="1"/>
  <c r="L195" i="18" s="1"/>
  <c r="I193" i="18"/>
  <c r="J193" i="18" s="1"/>
  <c r="L193" i="18" s="1"/>
  <c r="I177" i="18"/>
  <c r="J177" i="18" s="1"/>
  <c r="L177" i="18" s="1"/>
  <c r="I41" i="18"/>
  <c r="J41" i="18" s="1"/>
  <c r="L41" i="18" s="1"/>
  <c r="I160" i="18"/>
  <c r="J160" i="18" s="1"/>
  <c r="L160" i="18" s="1"/>
  <c r="I142" i="18"/>
  <c r="J142" i="18" s="1"/>
  <c r="L142" i="18" s="1"/>
  <c r="I51" i="18"/>
  <c r="J51" i="18" s="1"/>
  <c r="L51" i="18" s="1"/>
  <c r="I137" i="18"/>
  <c r="J137" i="18" s="1"/>
  <c r="L137" i="18" s="1"/>
  <c r="I79" i="18"/>
  <c r="J79" i="18" s="1"/>
  <c r="L79" i="18" s="1"/>
  <c r="I23" i="18"/>
  <c r="J23" i="18" s="1"/>
  <c r="L23" i="18" s="1"/>
  <c r="I69" i="18"/>
  <c r="J69" i="18" s="1"/>
  <c r="L69" i="18" s="1"/>
  <c r="I123" i="18"/>
  <c r="J123" i="18" s="1"/>
  <c r="L123" i="18" s="1"/>
  <c r="I164" i="18"/>
  <c r="J164" i="18" s="1"/>
  <c r="L164" i="18" s="1"/>
  <c r="I73" i="18"/>
  <c r="J73" i="18" s="1"/>
  <c r="L73" i="18" s="1"/>
  <c r="I90" i="18"/>
  <c r="J90" i="18" s="1"/>
  <c r="L90" i="18" s="1"/>
  <c r="I170" i="18"/>
  <c r="J170" i="18" s="1"/>
  <c r="L170" i="18" s="1"/>
  <c r="I63" i="18"/>
  <c r="J63" i="18" s="1"/>
  <c r="L63" i="18" s="1"/>
  <c r="I78" i="18"/>
  <c r="J78" i="18" s="1"/>
  <c r="L78" i="18" s="1"/>
  <c r="I102" i="18"/>
  <c r="J102" i="18" s="1"/>
  <c r="L102" i="18" s="1"/>
  <c r="I95" i="18"/>
  <c r="J95" i="18" s="1"/>
  <c r="L95" i="18" s="1"/>
  <c r="I153" i="18"/>
  <c r="J153" i="18" s="1"/>
  <c r="L153" i="18" s="1"/>
  <c r="I32" i="18"/>
  <c r="J32" i="18" s="1"/>
  <c r="L32" i="18" s="1"/>
  <c r="I173" i="18"/>
  <c r="J173" i="18" s="1"/>
  <c r="L173" i="18" s="1"/>
  <c r="I157" i="18"/>
  <c r="J157" i="18" s="1"/>
  <c r="L157" i="18" s="1"/>
  <c r="I130" i="18"/>
  <c r="J130" i="18" s="1"/>
  <c r="L130" i="18" s="1"/>
  <c r="I149" i="18"/>
  <c r="J149" i="18" s="1"/>
  <c r="L149" i="18" s="1"/>
  <c r="I148" i="18"/>
  <c r="J148" i="18" s="1"/>
  <c r="L148" i="18" s="1"/>
  <c r="I68" i="18"/>
  <c r="J68" i="18" s="1"/>
  <c r="L68" i="18" s="1"/>
  <c r="I47" i="18"/>
  <c r="J47" i="18" s="1"/>
  <c r="L47" i="18" s="1"/>
  <c r="I210" i="18"/>
  <c r="J210" i="18" s="1"/>
  <c r="L210" i="18" s="1"/>
  <c r="I56" i="18"/>
  <c r="J56" i="18" s="1"/>
  <c r="F14" i="29"/>
  <c r="I136" i="18"/>
  <c r="J136" i="18" s="1"/>
  <c r="L136" i="18" s="1"/>
  <c r="I44" i="18"/>
  <c r="J44" i="18" s="1"/>
  <c r="L44" i="18" s="1"/>
  <c r="I197" i="18"/>
  <c r="J197" i="18" s="1"/>
  <c r="L197" i="18" s="1"/>
  <c r="I53" i="18"/>
  <c r="J53" i="18" s="1"/>
  <c r="L53" i="18" s="1"/>
  <c r="I66" i="18"/>
  <c r="J66" i="18" s="1"/>
  <c r="L66" i="18" s="1"/>
  <c r="I67" i="18"/>
  <c r="J67" i="18" s="1"/>
  <c r="L67" i="18" s="1"/>
  <c r="I138" i="18"/>
  <c r="J138" i="18" s="1"/>
  <c r="L138" i="18" s="1"/>
  <c r="I113" i="18"/>
  <c r="J113" i="18" s="1"/>
  <c r="L113" i="18" s="1"/>
  <c r="I40" i="18"/>
  <c r="J40" i="18" s="1"/>
  <c r="L40" i="18" s="1"/>
  <c r="I135" i="18"/>
  <c r="J135" i="18" s="1"/>
  <c r="L135" i="18" s="1"/>
  <c r="I174" i="18"/>
  <c r="J174" i="18" s="1"/>
  <c r="L174" i="18" s="1"/>
  <c r="I129" i="18"/>
  <c r="J129" i="18" s="1"/>
  <c r="L129" i="18" s="1"/>
  <c r="I34" i="18"/>
  <c r="J34" i="18" s="1"/>
  <c r="L34" i="18" s="1"/>
  <c r="I43" i="18"/>
  <c r="J43" i="18" s="1"/>
  <c r="L43" i="18" s="1"/>
  <c r="I198" i="18"/>
  <c r="J198" i="18" s="1"/>
  <c r="L198" i="18" s="1"/>
  <c r="I151" i="18"/>
  <c r="J151" i="18" s="1"/>
  <c r="L151" i="18" s="1"/>
  <c r="I109" i="18"/>
  <c r="J109" i="18" s="1"/>
  <c r="L109" i="18" s="1"/>
  <c r="I199" i="18"/>
  <c r="J199" i="18" s="1"/>
  <c r="L199" i="18" s="1"/>
  <c r="I55" i="18"/>
  <c r="J55" i="18" s="1"/>
  <c r="L55" i="18" s="1"/>
  <c r="I112" i="18"/>
  <c r="J112" i="18" s="1"/>
  <c r="L112" i="18" s="1"/>
  <c r="I75" i="18"/>
  <c r="J75" i="18" s="1"/>
  <c r="L75" i="18" s="1"/>
  <c r="I48" i="18"/>
  <c r="J48" i="18" s="1"/>
  <c r="L48" i="18" s="1"/>
  <c r="I131" i="18"/>
  <c r="J131" i="18" s="1"/>
  <c r="L131" i="18" s="1"/>
  <c r="I127" i="18"/>
  <c r="J127" i="18" s="1"/>
  <c r="L127" i="18" s="1"/>
  <c r="I22" i="18"/>
  <c r="J22" i="18" s="1"/>
  <c r="L22" i="18" s="1"/>
  <c r="I133" i="18"/>
  <c r="J133" i="18" s="1"/>
  <c r="L133" i="18" s="1"/>
  <c r="I65" i="18"/>
  <c r="J65" i="18" s="1"/>
  <c r="L65" i="18" s="1"/>
  <c r="I26" i="18"/>
  <c r="J26" i="18" s="1"/>
  <c r="L26" i="18" s="1"/>
  <c r="I166" i="18"/>
  <c r="J166" i="18" s="1"/>
  <c r="L166" i="18" s="1"/>
  <c r="I144" i="18"/>
  <c r="J144" i="18" s="1"/>
  <c r="L144" i="18" s="1"/>
  <c r="I72" i="18"/>
  <c r="J72" i="18" s="1"/>
  <c r="L72" i="18" s="1"/>
  <c r="I21" i="18"/>
  <c r="J21" i="18" s="1"/>
  <c r="L21" i="18" s="1"/>
  <c r="I196" i="18"/>
  <c r="J196" i="18" s="1"/>
  <c r="L196" i="18" s="1"/>
  <c r="I163" i="18"/>
  <c r="J163" i="18" s="1"/>
  <c r="L163" i="18" s="1"/>
  <c r="I125" i="18"/>
  <c r="J125" i="18" s="1"/>
  <c r="L125" i="18" s="1"/>
  <c r="I118" i="18"/>
  <c r="J118" i="18" s="1"/>
  <c r="L118" i="18" s="1"/>
  <c r="I169" i="18"/>
  <c r="J169" i="18" s="1"/>
  <c r="L169" i="18" s="1"/>
  <c r="I182" i="18"/>
  <c r="J182" i="18" s="1"/>
  <c r="L182" i="18" s="1"/>
  <c r="I202" i="18"/>
  <c r="J202" i="18" s="1"/>
  <c r="L202" i="18" s="1"/>
  <c r="I100" i="18"/>
  <c r="J100" i="18" s="1"/>
  <c r="L100" i="18" s="1"/>
  <c r="I146" i="18"/>
  <c r="J146" i="18" s="1"/>
  <c r="L146" i="18" s="1"/>
  <c r="I85" i="18"/>
  <c r="J85" i="18" s="1"/>
  <c r="L85" i="18" s="1"/>
  <c r="I74" i="18"/>
  <c r="J74" i="18" s="1"/>
  <c r="L74" i="18" s="1"/>
  <c r="I145" i="18"/>
  <c r="J145" i="18" s="1"/>
  <c r="L145" i="18" s="1"/>
  <c r="I158" i="18"/>
  <c r="J158" i="18" s="1"/>
  <c r="L158" i="18" s="1"/>
  <c r="I82" i="18"/>
  <c r="J82" i="18" s="1"/>
  <c r="L82" i="18" s="1"/>
  <c r="I88" i="18"/>
  <c r="J88" i="18" s="1"/>
  <c r="L88" i="18" s="1"/>
  <c r="I190" i="18"/>
  <c r="J190" i="18" s="1"/>
  <c r="L190" i="18" s="1"/>
  <c r="I96" i="18"/>
  <c r="J96" i="18" s="1"/>
  <c r="L96" i="18" s="1"/>
  <c r="I103" i="18"/>
  <c r="J103" i="18" s="1"/>
  <c r="L103" i="18" s="1"/>
  <c r="I33" i="18"/>
  <c r="J33" i="18" s="1"/>
  <c r="L33" i="18" s="1"/>
  <c r="I121" i="18"/>
  <c r="J121" i="18" s="1"/>
  <c r="L121" i="18" s="1"/>
  <c r="I52" i="18"/>
  <c r="J52" i="18" s="1"/>
  <c r="L52" i="18" s="1"/>
  <c r="I120" i="18"/>
  <c r="J120" i="18" s="1"/>
  <c r="L120" i="18" s="1"/>
  <c r="I141" i="18"/>
  <c r="J141" i="18" s="1"/>
  <c r="L141" i="18" s="1"/>
  <c r="I110" i="18"/>
  <c r="J110" i="18" s="1"/>
  <c r="L110" i="18" s="1"/>
  <c r="I115" i="18"/>
  <c r="J115" i="18" s="1"/>
  <c r="L115" i="18" s="1"/>
  <c r="I37" i="18"/>
  <c r="J37" i="18" s="1"/>
  <c r="L37" i="18" s="1"/>
  <c r="I209" i="18"/>
  <c r="J209" i="18" s="1"/>
  <c r="L209" i="18" s="1"/>
  <c r="I20" i="18"/>
  <c r="J20" i="18" s="1"/>
  <c r="I205" i="18"/>
  <c r="J205" i="18" s="1"/>
  <c r="L205" i="18" s="1"/>
  <c r="I211" i="18"/>
  <c r="J211" i="18" s="1"/>
  <c r="L211" i="18" s="1"/>
  <c r="I150" i="18"/>
  <c r="J150" i="18" s="1"/>
  <c r="L150" i="18" s="1"/>
  <c r="I168" i="18"/>
  <c r="J168" i="18" s="1"/>
  <c r="L168" i="18" s="1"/>
  <c r="I194" i="18"/>
  <c r="J194" i="18" s="1"/>
  <c r="L194" i="18" s="1"/>
  <c r="I101" i="18"/>
  <c r="J101" i="18" s="1"/>
  <c r="L101" i="18" s="1"/>
  <c r="I119" i="18"/>
  <c r="J119" i="18" s="1"/>
  <c r="L119" i="18" s="1"/>
  <c r="I76" i="18"/>
  <c r="J76" i="18" s="1"/>
  <c r="L76" i="18" s="1"/>
  <c r="I139" i="18"/>
  <c r="J139" i="18" s="1"/>
  <c r="L139" i="18" s="1"/>
  <c r="I167" i="18"/>
  <c r="J167" i="18" s="1"/>
  <c r="L167" i="18" s="1"/>
  <c r="I28" i="18"/>
  <c r="J28" i="18" s="1"/>
  <c r="L28" i="18" s="1"/>
  <c r="I106" i="18"/>
  <c r="J106" i="18" s="1"/>
  <c r="L106" i="18" s="1"/>
  <c r="I159" i="18"/>
  <c r="J159" i="18" s="1"/>
  <c r="L159" i="18" s="1"/>
  <c r="I206" i="18"/>
  <c r="J206" i="18" s="1"/>
  <c r="L206" i="18" s="1"/>
  <c r="I165" i="18"/>
  <c r="J165" i="18" s="1"/>
  <c r="L165" i="18" s="1"/>
  <c r="I200" i="18"/>
  <c r="J200" i="18" s="1"/>
  <c r="L200" i="18" s="1"/>
  <c r="I201" i="18"/>
  <c r="J201" i="18" s="1"/>
  <c r="L201" i="18" s="1"/>
  <c r="I45" i="18"/>
  <c r="J45" i="18" s="1"/>
  <c r="L45" i="18" s="1"/>
  <c r="I24" i="18"/>
  <c r="J24" i="18" s="1"/>
  <c r="L24" i="18" s="1"/>
  <c r="I94" i="18"/>
  <c r="J94" i="18" s="1"/>
  <c r="L94" i="18" s="1"/>
  <c r="I147" i="18"/>
  <c r="J147" i="18" s="1"/>
  <c r="L147" i="18" s="1"/>
  <c r="I143" i="18"/>
  <c r="J143" i="18" s="1"/>
  <c r="L143" i="18" s="1"/>
  <c r="I207" i="18"/>
  <c r="J207" i="18" s="1"/>
  <c r="L207" i="18" s="1"/>
  <c r="I126" i="18"/>
  <c r="J126" i="18" s="1"/>
  <c r="L126" i="18" s="1"/>
  <c r="I80" i="18"/>
  <c r="J80" i="18" s="1"/>
  <c r="L80" i="18" s="1"/>
  <c r="I46" i="18"/>
  <c r="J46" i="18" s="1"/>
  <c r="L46" i="18" s="1"/>
  <c r="I93" i="18"/>
  <c r="J93" i="18" s="1"/>
  <c r="L93" i="18" s="1"/>
  <c r="I140" i="18"/>
  <c r="J140" i="18" s="1"/>
  <c r="L140" i="18" s="1"/>
  <c r="I35" i="18"/>
  <c r="J35" i="18" s="1"/>
  <c r="L35" i="18" s="1"/>
  <c r="I122" i="18"/>
  <c r="J122" i="18" s="1"/>
  <c r="L122" i="18" s="1"/>
  <c r="I203" i="18"/>
  <c r="J203" i="18" s="1"/>
  <c r="L203" i="18" s="1"/>
  <c r="I114" i="18"/>
  <c r="J114" i="18" s="1"/>
  <c r="L114" i="18" s="1"/>
  <c r="I154" i="18"/>
  <c r="J154" i="18" s="1"/>
  <c r="L154" i="18" s="1"/>
  <c r="I155" i="18"/>
  <c r="J155" i="18" s="1"/>
  <c r="L155" i="18" s="1"/>
  <c r="J212" i="18" l="1"/>
  <c r="J14" i="18"/>
  <c r="L20" i="18"/>
  <c r="J13" i="18"/>
  <c r="L56" i="18"/>
  <c r="L13" i="18" l="1"/>
  <c r="L212" i="18"/>
  <c r="L14" i="18"/>
  <c r="M21" i="18" l="1"/>
  <c r="N21" i="18" s="1"/>
  <c r="R21" i="18" s="1"/>
  <c r="M92" i="18"/>
  <c r="N92" i="18" s="1"/>
  <c r="R92" i="18" s="1"/>
  <c r="M98" i="18"/>
  <c r="N98" i="18" s="1"/>
  <c r="R98" i="18" s="1"/>
  <c r="M211" i="18"/>
  <c r="N211" i="18" s="1"/>
  <c r="R211" i="18" s="1"/>
  <c r="M126" i="18"/>
  <c r="N126" i="18" s="1"/>
  <c r="R126" i="18" s="1"/>
  <c r="M107" i="18"/>
  <c r="N107" i="18" s="1"/>
  <c r="R107" i="18" s="1"/>
  <c r="M129" i="18"/>
  <c r="N129" i="18" s="1"/>
  <c r="R129" i="18" s="1"/>
  <c r="M82" i="18"/>
  <c r="N82" i="18" s="1"/>
  <c r="R82" i="18" s="1"/>
  <c r="M41" i="18"/>
  <c r="N41" i="18" s="1"/>
  <c r="R41" i="18" s="1"/>
  <c r="M207" i="18"/>
  <c r="N207" i="18" s="1"/>
  <c r="R207" i="18" s="1"/>
  <c r="M146" i="18"/>
  <c r="N146" i="18" s="1"/>
  <c r="R146" i="18" s="1"/>
  <c r="M73" i="18"/>
  <c r="N73" i="18" s="1"/>
  <c r="R73" i="18" s="1"/>
  <c r="M58" i="18"/>
  <c r="N58" i="18" s="1"/>
  <c r="R58" i="18" s="1"/>
  <c r="M149" i="18"/>
  <c r="N149" i="18" s="1"/>
  <c r="R149" i="18" s="1"/>
  <c r="M148" i="18"/>
  <c r="N148" i="18" s="1"/>
  <c r="R148" i="18" s="1"/>
  <c r="M173" i="18"/>
  <c r="N173" i="18" s="1"/>
  <c r="R173" i="18" s="1"/>
  <c r="M102" i="18"/>
  <c r="N102" i="18" s="1"/>
  <c r="R102" i="18" s="1"/>
  <c r="M122" i="18"/>
  <c r="N122" i="18" s="1"/>
  <c r="R122" i="18" s="1"/>
  <c r="M64" i="18"/>
  <c r="N64" i="18" s="1"/>
  <c r="R64" i="18" s="1"/>
  <c r="M185" i="18"/>
  <c r="N185" i="18" s="1"/>
  <c r="R185" i="18" s="1"/>
  <c r="M124" i="18"/>
  <c r="N124" i="18" s="1"/>
  <c r="R124" i="18" s="1"/>
  <c r="M206" i="18"/>
  <c r="N206" i="18" s="1"/>
  <c r="R206" i="18" s="1"/>
  <c r="M35" i="18"/>
  <c r="N35" i="18" s="1"/>
  <c r="R35" i="18" s="1"/>
  <c r="M170" i="18"/>
  <c r="N170" i="18" s="1"/>
  <c r="R170" i="18" s="1"/>
  <c r="M78" i="18"/>
  <c r="N78" i="18" s="1"/>
  <c r="R78" i="18" s="1"/>
  <c r="M180" i="18"/>
  <c r="N180" i="18" s="1"/>
  <c r="R180" i="18" s="1"/>
  <c r="M83" i="18"/>
  <c r="N83" i="18" s="1"/>
  <c r="R83" i="18" s="1"/>
  <c r="M187" i="18"/>
  <c r="N187" i="18" s="1"/>
  <c r="R187" i="18" s="1"/>
  <c r="M137" i="18"/>
  <c r="N137" i="18" s="1"/>
  <c r="R137" i="18" s="1"/>
  <c r="M157" i="18"/>
  <c r="N157" i="18" s="1"/>
  <c r="R157" i="18" s="1"/>
  <c r="M45" i="18"/>
  <c r="N45" i="18" s="1"/>
  <c r="R45" i="18" s="1"/>
  <c r="M132" i="18"/>
  <c r="N132" i="18" s="1"/>
  <c r="R132" i="18" s="1"/>
  <c r="M75" i="18"/>
  <c r="N75" i="18" s="1"/>
  <c r="R75" i="18" s="1"/>
  <c r="M150" i="18"/>
  <c r="N150" i="18" s="1"/>
  <c r="R150" i="18" s="1"/>
  <c r="M115" i="18"/>
  <c r="N115" i="18" s="1"/>
  <c r="R115" i="18" s="1"/>
  <c r="M72" i="18"/>
  <c r="N72" i="18" s="1"/>
  <c r="R72" i="18" s="1"/>
  <c r="M65" i="18"/>
  <c r="N65" i="18" s="1"/>
  <c r="R65" i="18" s="1"/>
  <c r="M191" i="18"/>
  <c r="N191" i="18" s="1"/>
  <c r="R191" i="18" s="1"/>
  <c r="M204" i="18"/>
  <c r="N204" i="18" s="1"/>
  <c r="R204" i="18" s="1"/>
  <c r="M210" i="18"/>
  <c r="N210" i="18" s="1"/>
  <c r="R210" i="18" s="1"/>
  <c r="M140" i="18"/>
  <c r="N140" i="18" s="1"/>
  <c r="R140" i="18" s="1"/>
  <c r="M113" i="18"/>
  <c r="N113" i="18" s="1"/>
  <c r="R113" i="18" s="1"/>
  <c r="M196" i="18"/>
  <c r="N196" i="18" s="1"/>
  <c r="R196" i="18" s="1"/>
  <c r="M135" i="18"/>
  <c r="N135" i="18" s="1"/>
  <c r="R135" i="18" s="1"/>
  <c r="M26" i="18"/>
  <c r="N26" i="18" s="1"/>
  <c r="R26" i="18" s="1"/>
  <c r="M198" i="18"/>
  <c r="N198" i="18" s="1"/>
  <c r="R198" i="18" s="1"/>
  <c r="M37" i="18"/>
  <c r="N37" i="18" s="1"/>
  <c r="R37" i="18" s="1"/>
  <c r="M56" i="18"/>
  <c r="M101" i="18"/>
  <c r="N101" i="18" s="1"/>
  <c r="R101" i="18" s="1"/>
  <c r="M29" i="18"/>
  <c r="N29" i="18" s="1"/>
  <c r="R29" i="18" s="1"/>
  <c r="M79" i="18"/>
  <c r="N79" i="18" s="1"/>
  <c r="R79" i="18" s="1"/>
  <c r="M48" i="18"/>
  <c r="N48" i="18" s="1"/>
  <c r="R48" i="18" s="1"/>
  <c r="M177" i="18"/>
  <c r="N177" i="18" s="1"/>
  <c r="R177" i="18" s="1"/>
  <c r="M22" i="18"/>
  <c r="N22" i="18" s="1"/>
  <c r="R22" i="18" s="1"/>
  <c r="M50" i="18"/>
  <c r="N50" i="18" s="1"/>
  <c r="R50" i="18" s="1"/>
  <c r="M130" i="18"/>
  <c r="N130" i="18" s="1"/>
  <c r="R130" i="18" s="1"/>
  <c r="M209" i="18"/>
  <c r="N209" i="18" s="1"/>
  <c r="R209" i="18" s="1"/>
  <c r="M42" i="18"/>
  <c r="N42" i="18" s="1"/>
  <c r="R42" i="18" s="1"/>
  <c r="M127" i="18"/>
  <c r="N127" i="18" s="1"/>
  <c r="R127" i="18" s="1"/>
  <c r="M182" i="18"/>
  <c r="N182" i="18" s="1"/>
  <c r="R182" i="18" s="1"/>
  <c r="M104" i="18"/>
  <c r="N104" i="18" s="1"/>
  <c r="R104" i="18" s="1"/>
  <c r="M162" i="18"/>
  <c r="N162" i="18" s="1"/>
  <c r="R162" i="18" s="1"/>
  <c r="M46" i="18"/>
  <c r="N46" i="18" s="1"/>
  <c r="R46" i="18" s="1"/>
  <c r="M190" i="18"/>
  <c r="N190" i="18" s="1"/>
  <c r="R190" i="18" s="1"/>
  <c r="M193" i="18"/>
  <c r="N193" i="18" s="1"/>
  <c r="R193" i="18" s="1"/>
  <c r="M108" i="18"/>
  <c r="N108" i="18" s="1"/>
  <c r="R108" i="18" s="1"/>
  <c r="M62" i="18"/>
  <c r="N62" i="18" s="1"/>
  <c r="R62" i="18" s="1"/>
  <c r="M33" i="18"/>
  <c r="N33" i="18" s="1"/>
  <c r="R33" i="18" s="1"/>
  <c r="M156" i="18"/>
  <c r="N156" i="18" s="1"/>
  <c r="R156" i="18" s="1"/>
  <c r="M52" i="18"/>
  <c r="N52" i="18" s="1"/>
  <c r="R52" i="18" s="1"/>
  <c r="M103" i="18"/>
  <c r="N103" i="18" s="1"/>
  <c r="R103" i="18" s="1"/>
  <c r="M194" i="18"/>
  <c r="N194" i="18" s="1"/>
  <c r="R194" i="18" s="1"/>
  <c r="M136" i="18"/>
  <c r="N136" i="18" s="1"/>
  <c r="R136" i="18" s="1"/>
  <c r="M120" i="18"/>
  <c r="N120" i="18" s="1"/>
  <c r="R120" i="18" s="1"/>
  <c r="M165" i="18"/>
  <c r="N165" i="18" s="1"/>
  <c r="R165" i="18" s="1"/>
  <c r="M161" i="18"/>
  <c r="N161" i="18" s="1"/>
  <c r="R161" i="18" s="1"/>
  <c r="M197" i="18"/>
  <c r="N197" i="18" s="1"/>
  <c r="R197" i="18" s="1"/>
  <c r="M134" i="18"/>
  <c r="N134" i="18" s="1"/>
  <c r="R134" i="18" s="1"/>
  <c r="M97" i="18"/>
  <c r="N97" i="18" s="1"/>
  <c r="R97" i="18" s="1"/>
  <c r="M133" i="18"/>
  <c r="N133" i="18" s="1"/>
  <c r="R133" i="18" s="1"/>
  <c r="M164" i="18"/>
  <c r="N164" i="18" s="1"/>
  <c r="R164" i="18" s="1"/>
  <c r="M95" i="18"/>
  <c r="N95" i="18" s="1"/>
  <c r="R95" i="18" s="1"/>
  <c r="M200" i="18"/>
  <c r="N200" i="18" s="1"/>
  <c r="R200" i="18" s="1"/>
  <c r="M114" i="18"/>
  <c r="N114" i="18" s="1"/>
  <c r="R114" i="18" s="1"/>
  <c r="M145" i="18"/>
  <c r="N145" i="18" s="1"/>
  <c r="R145" i="18" s="1"/>
  <c r="M125" i="18"/>
  <c r="N125" i="18" s="1"/>
  <c r="R125" i="18" s="1"/>
  <c r="M172" i="18"/>
  <c r="N172" i="18" s="1"/>
  <c r="R172" i="18" s="1"/>
  <c r="M68" i="18"/>
  <c r="N68" i="18" s="1"/>
  <c r="R68" i="18" s="1"/>
  <c r="M40" i="18"/>
  <c r="N40" i="18" s="1"/>
  <c r="R40" i="18" s="1"/>
  <c r="M174" i="18"/>
  <c r="N174" i="18" s="1"/>
  <c r="R174" i="18" s="1"/>
  <c r="M94" i="18"/>
  <c r="N94" i="18" s="1"/>
  <c r="R94" i="18" s="1"/>
  <c r="M112" i="18"/>
  <c r="N112" i="18" s="1"/>
  <c r="R112" i="18" s="1"/>
  <c r="M199" i="18"/>
  <c r="N199" i="18" s="1"/>
  <c r="R199" i="18" s="1"/>
  <c r="M109" i="18"/>
  <c r="N109" i="18" s="1"/>
  <c r="R109" i="18" s="1"/>
  <c r="M88" i="18"/>
  <c r="N88" i="18" s="1"/>
  <c r="R88" i="18" s="1"/>
  <c r="M27" i="18"/>
  <c r="N27" i="18" s="1"/>
  <c r="R27" i="18" s="1"/>
  <c r="M160" i="18"/>
  <c r="N160" i="18" s="1"/>
  <c r="R160" i="18" s="1"/>
  <c r="M184" i="18"/>
  <c r="N184" i="18" s="1"/>
  <c r="R184" i="18" s="1"/>
  <c r="M192" i="18"/>
  <c r="N192" i="18" s="1"/>
  <c r="R192" i="18" s="1"/>
  <c r="M155" i="18"/>
  <c r="N155" i="18" s="1"/>
  <c r="R155" i="18" s="1"/>
  <c r="M178" i="18"/>
  <c r="N178" i="18" s="1"/>
  <c r="R178" i="18" s="1"/>
  <c r="M169" i="18"/>
  <c r="N169" i="18" s="1"/>
  <c r="R169" i="18" s="1"/>
  <c r="M117" i="18"/>
  <c r="N117" i="18" s="1"/>
  <c r="R117" i="18" s="1"/>
  <c r="M143" i="18"/>
  <c r="N143" i="18" s="1"/>
  <c r="R143" i="18" s="1"/>
  <c r="M181" i="18"/>
  <c r="N181" i="18" s="1"/>
  <c r="R181" i="18" s="1"/>
  <c r="M80" i="18"/>
  <c r="N80" i="18" s="1"/>
  <c r="R80" i="18" s="1"/>
  <c r="M69" i="18"/>
  <c r="N69" i="18" s="1"/>
  <c r="R69" i="18" s="1"/>
  <c r="M154" i="18"/>
  <c r="N154" i="18" s="1"/>
  <c r="R154" i="18" s="1"/>
  <c r="M43" i="18"/>
  <c r="N43" i="18" s="1"/>
  <c r="R43" i="18" s="1"/>
  <c r="M183" i="18"/>
  <c r="N183" i="18" s="1"/>
  <c r="R183" i="18" s="1"/>
  <c r="M167" i="18"/>
  <c r="N167" i="18" s="1"/>
  <c r="R167" i="18" s="1"/>
  <c r="M86" i="18"/>
  <c r="N86" i="18" s="1"/>
  <c r="R86" i="18" s="1"/>
  <c r="M202" i="18"/>
  <c r="N202" i="18" s="1"/>
  <c r="R202" i="18" s="1"/>
  <c r="M85" i="18"/>
  <c r="N85" i="18" s="1"/>
  <c r="R85" i="18" s="1"/>
  <c r="M171" i="18"/>
  <c r="N171" i="18" s="1"/>
  <c r="R171" i="18" s="1"/>
  <c r="M36" i="18"/>
  <c r="N36" i="18" s="1"/>
  <c r="R36" i="18" s="1"/>
  <c r="M87" i="18"/>
  <c r="N87" i="18" s="1"/>
  <c r="R87" i="18" s="1"/>
  <c r="M93" i="18"/>
  <c r="N93" i="18" s="1"/>
  <c r="R93" i="18" s="1"/>
  <c r="M90" i="18"/>
  <c r="N90" i="18" s="1"/>
  <c r="R90" i="18" s="1"/>
  <c r="M189" i="18"/>
  <c r="N189" i="18" s="1"/>
  <c r="R189" i="18" s="1"/>
  <c r="M96" i="18"/>
  <c r="N96" i="18" s="1"/>
  <c r="R96" i="18" s="1"/>
  <c r="M23" i="18"/>
  <c r="N23" i="18" s="1"/>
  <c r="R23" i="18" s="1"/>
  <c r="M30" i="18"/>
  <c r="N30" i="18" s="1"/>
  <c r="R30" i="18" s="1"/>
  <c r="M24" i="18"/>
  <c r="N24" i="18" s="1"/>
  <c r="R24" i="18" s="1"/>
  <c r="M110" i="18"/>
  <c r="N110" i="18" s="1"/>
  <c r="R110" i="18" s="1"/>
  <c r="M54" i="18"/>
  <c r="N54" i="18" s="1"/>
  <c r="R54" i="18" s="1"/>
  <c r="M34" i="18"/>
  <c r="N34" i="18" s="1"/>
  <c r="R34" i="18" s="1"/>
  <c r="M201" i="18"/>
  <c r="N201" i="18" s="1"/>
  <c r="R201" i="18" s="1"/>
  <c r="M203" i="18"/>
  <c r="N203" i="18" s="1"/>
  <c r="R203" i="18" s="1"/>
  <c r="M77" i="18"/>
  <c r="N77" i="18" s="1"/>
  <c r="R77" i="18" s="1"/>
  <c r="M128" i="18"/>
  <c r="N128" i="18" s="1"/>
  <c r="R128" i="18" s="1"/>
  <c r="M166" i="18"/>
  <c r="N166" i="18" s="1"/>
  <c r="R166" i="18" s="1"/>
  <c r="M142" i="18"/>
  <c r="N142" i="18" s="1"/>
  <c r="R142" i="18" s="1"/>
  <c r="M32" i="18"/>
  <c r="N32" i="18" s="1"/>
  <c r="R32" i="18" s="1"/>
  <c r="M106" i="18"/>
  <c r="N106" i="18" s="1"/>
  <c r="R106" i="18" s="1"/>
  <c r="M151" i="18"/>
  <c r="N151" i="18" s="1"/>
  <c r="R151" i="18" s="1"/>
  <c r="M175" i="18"/>
  <c r="N175" i="18" s="1"/>
  <c r="R175" i="18" s="1"/>
  <c r="M205" i="18"/>
  <c r="N205" i="18" s="1"/>
  <c r="R205" i="18" s="1"/>
  <c r="M159" i="18"/>
  <c r="N159" i="18" s="1"/>
  <c r="R159" i="18" s="1"/>
  <c r="M105" i="18"/>
  <c r="N105" i="18" s="1"/>
  <c r="R105" i="18" s="1"/>
  <c r="M47" i="18"/>
  <c r="N47" i="18" s="1"/>
  <c r="R47" i="18" s="1"/>
  <c r="M89" i="18"/>
  <c r="N89" i="18" s="1"/>
  <c r="R89" i="18" s="1"/>
  <c r="M99" i="18"/>
  <c r="N99" i="18" s="1"/>
  <c r="R99" i="18" s="1"/>
  <c r="M138" i="18"/>
  <c r="N138" i="18" s="1"/>
  <c r="R138" i="18" s="1"/>
  <c r="M53" i="18"/>
  <c r="N53" i="18" s="1"/>
  <c r="R53" i="18" s="1"/>
  <c r="M144" i="18"/>
  <c r="N144" i="18" s="1"/>
  <c r="R144" i="18" s="1"/>
  <c r="M147" i="18"/>
  <c r="N147" i="18" s="1"/>
  <c r="R147" i="18" s="1"/>
  <c r="M111" i="18"/>
  <c r="N111" i="18" s="1"/>
  <c r="R111" i="18" s="1"/>
  <c r="M116" i="18"/>
  <c r="N116" i="18" s="1"/>
  <c r="R116" i="18" s="1"/>
  <c r="M71" i="18"/>
  <c r="N71" i="18" s="1"/>
  <c r="R71" i="18" s="1"/>
  <c r="M152" i="18"/>
  <c r="N152" i="18" s="1"/>
  <c r="R152" i="18" s="1"/>
  <c r="M57" i="18"/>
  <c r="N57" i="18" s="1"/>
  <c r="R57" i="18" s="1"/>
  <c r="M163" i="18"/>
  <c r="N163" i="18" s="1"/>
  <c r="R163" i="18" s="1"/>
  <c r="M39" i="18"/>
  <c r="N39" i="18" s="1"/>
  <c r="R39" i="18" s="1"/>
  <c r="M158" i="18"/>
  <c r="N158" i="18" s="1"/>
  <c r="R158" i="18" s="1"/>
  <c r="M49" i="18"/>
  <c r="N49" i="18" s="1"/>
  <c r="R49" i="18" s="1"/>
  <c r="M44" i="18"/>
  <c r="N44" i="18" s="1"/>
  <c r="R44" i="18" s="1"/>
  <c r="M61" i="18"/>
  <c r="N61" i="18" s="1"/>
  <c r="R61" i="18" s="1"/>
  <c r="M70" i="18"/>
  <c r="N70" i="18" s="1"/>
  <c r="R70" i="18" s="1"/>
  <c r="M28" i="18"/>
  <c r="N28" i="18" s="1"/>
  <c r="R28" i="18" s="1"/>
  <c r="M67" i="18"/>
  <c r="N67" i="18" s="1"/>
  <c r="R67" i="18" s="1"/>
  <c r="M168" i="18"/>
  <c r="N168" i="18" s="1"/>
  <c r="R168" i="18" s="1"/>
  <c r="M76" i="18"/>
  <c r="N76" i="18" s="1"/>
  <c r="R76" i="18" s="1"/>
  <c r="M66" i="18"/>
  <c r="N66" i="18" s="1"/>
  <c r="R66" i="18" s="1"/>
  <c r="M38" i="18"/>
  <c r="N38" i="18" s="1"/>
  <c r="R38" i="18" s="1"/>
  <c r="M91" i="18"/>
  <c r="N91" i="18" s="1"/>
  <c r="R91" i="18" s="1"/>
  <c r="M176" i="18"/>
  <c r="N176" i="18" s="1"/>
  <c r="R176" i="18" s="1"/>
  <c r="M63" i="18"/>
  <c r="N63" i="18" s="1"/>
  <c r="R63" i="18" s="1"/>
  <c r="M119" i="18"/>
  <c r="N119" i="18" s="1"/>
  <c r="R119" i="18" s="1"/>
  <c r="M208" i="18"/>
  <c r="N208" i="18" s="1"/>
  <c r="R208" i="18" s="1"/>
  <c r="M186" i="18"/>
  <c r="N186" i="18" s="1"/>
  <c r="R186" i="18" s="1"/>
  <c r="M60" i="18"/>
  <c r="N60" i="18" s="1"/>
  <c r="R60" i="18" s="1"/>
  <c r="M195" i="18"/>
  <c r="N195" i="18" s="1"/>
  <c r="R195" i="18" s="1"/>
  <c r="M25" i="18"/>
  <c r="N25" i="18" s="1"/>
  <c r="R25" i="18" s="1"/>
  <c r="M74" i="18"/>
  <c r="N74" i="18" s="1"/>
  <c r="R74" i="18" s="1"/>
  <c r="M20" i="18"/>
  <c r="M139" i="18"/>
  <c r="N139" i="18" s="1"/>
  <c r="R139" i="18" s="1"/>
  <c r="M153" i="18"/>
  <c r="N153" i="18" s="1"/>
  <c r="R153" i="18" s="1"/>
  <c r="M84" i="18"/>
  <c r="N84" i="18" s="1"/>
  <c r="R84" i="18" s="1"/>
  <c r="M188" i="18"/>
  <c r="N188" i="18" s="1"/>
  <c r="R188" i="18" s="1"/>
  <c r="M59" i="18"/>
  <c r="N59" i="18" s="1"/>
  <c r="R59" i="18" s="1"/>
  <c r="M121" i="18"/>
  <c r="N121" i="18" s="1"/>
  <c r="R121" i="18" s="1"/>
  <c r="M51" i="18"/>
  <c r="N51" i="18" s="1"/>
  <c r="R51" i="18" s="1"/>
  <c r="M55" i="18"/>
  <c r="N55" i="18" s="1"/>
  <c r="R55" i="18" s="1"/>
  <c r="M141" i="18"/>
  <c r="N141" i="18" s="1"/>
  <c r="R141" i="18" s="1"/>
  <c r="M31" i="18"/>
  <c r="N31" i="18" s="1"/>
  <c r="R31" i="18" s="1"/>
  <c r="M118" i="18"/>
  <c r="N118" i="18" s="1"/>
  <c r="R118" i="18" s="1"/>
  <c r="M179" i="18"/>
  <c r="N179" i="18" s="1"/>
  <c r="R179" i="18" s="1"/>
  <c r="M131" i="18"/>
  <c r="N131" i="18" s="1"/>
  <c r="R131" i="18" s="1"/>
  <c r="M100" i="18"/>
  <c r="N100" i="18" s="1"/>
  <c r="R100" i="18" s="1"/>
  <c r="M81" i="18"/>
  <c r="N81" i="18" s="1"/>
  <c r="R81" i="18" s="1"/>
  <c r="M123" i="18"/>
  <c r="N123" i="18" s="1"/>
  <c r="R123" i="18" s="1"/>
  <c r="M13" i="18" l="1"/>
  <c r="N56" i="18"/>
  <c r="M212" i="18"/>
  <c r="N20" i="18"/>
  <c r="R20" i="18" l="1"/>
  <c r="N14" i="18"/>
  <c r="R56" i="18"/>
  <c r="R13" i="18" s="1"/>
  <c r="N13" i="18"/>
  <c r="R212" i="18" l="1"/>
  <c r="R1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<sst xmlns="http://schemas.openxmlformats.org/spreadsheetml/2006/main" count="422" uniqueCount="104">
  <si>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</si>
  <si>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</si>
  <si>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</si>
  <si>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</si>
  <si>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</si>
  <si>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</si>
  <si>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</si>
  <si>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</si>
  <si>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</si>
  <si>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</si>
  <si>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</si>
  <si>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</si>
  <si>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</si>
  <si>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</si>
  <si>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</si>
  <si>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</si>
  <si>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</si>
  <si>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</si>
  <si>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</si>
  <si>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</si>
  <si>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</si>
  <si>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</si>
  <si>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</si>
  <si>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</si>
  <si>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</si>
  <si>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</si>
  <si>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</si>
  <si>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</si>
  <si>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</si>
  <si>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</si>
  <si>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</si>
  <si>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</si>
  <si>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</si>
  <si>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</si>
  <si>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</si>
  <si>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</si>
  <si>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</si>
  <si>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</si>
  <si>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</si>
  <si>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</si>
  <si>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True-Up
(</t>
    </r>
    <r>
      <rPr>
        <sz val="10"/>
        <rFont val="Arial"/>
        <family val="2"/>
      </rPr>
      <t>w/o Interest)</t>
    </r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</si>
  <si>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</si>
  <si>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</si>
  <si>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</si>
  <si>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</si>
  <si>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Total
True-Up Surcharge / (Refund)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</si>
  <si>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</si>
  <si>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</si>
  <si>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</si>
  <si>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</si>
  <si>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</si>
  <si>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</si>
  <si>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</si>
  <si>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</si>
  <si>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</si>
  <si>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</si>
  <si>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</si>
  <si>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</si>
  <si>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</si>
  <si>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</si>
  <si>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</si>
  <si>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</si>
  <si>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</si>
  <si>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</si>
  <si>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</si>
  <si>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</si>
  <si>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</si>
  <si>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</si>
  <si>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</si>
  <si>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</si>
  <si>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</si>
  <si>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</si>
  <si>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</si>
  <si>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</si>
  <si>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</si>
  <si>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</si>
  <si>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</si>
  <si>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</si>
  <si>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</si>
  <si>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</si>
  <si>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</si>
  <si>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</si>
  <si>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</si>
  <si>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AEP Oklahoma Transco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</si>
  <si>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</si>
  <si>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</si>
  <si>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</si>
  <si>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</si>
  <si>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</si>
  <si>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</si>
  <si>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</si>
  <si>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</si>
  <si>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</si>
  <si>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</si>
  <si>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</si>
  <si>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</si>
  <si>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(H)</t>
  </si>
  <si>
    <t xml:space="preserve"> (I) = (G) + (H)</t>
  </si>
  <si>
    <t>2017 ROE Refund</t>
  </si>
  <si>
    <t>AEPTCo Formula Rate -- FERC Docket ER18-194</t>
  </si>
  <si>
    <t>Total NITS Surcharge / Refund</t>
  </si>
  <si>
    <t>Network Customer True-Up (Schedule 1 charges)</t>
  </si>
  <si>
    <t xml:space="preserve">    &lt;&lt; SOUTHWESTERN TRANSMISSION COMPANY &gt;&gt;</t>
  </si>
  <si>
    <t>2021 True Up Including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</si>
</sst>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4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0" xfId="0" applyNumberFormat="1" applyProtection="1"/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167" fontId="2" fillId="0" borderId="0" xfId="0" quotePrefix="1" applyNumberFormat="1" applyFont="1" applyProtection="1"/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 wrapText="1"/>
    </xf>
    <xf numFmtId="0" fontId="3" fillId="0" borderId="17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8" xfId="2" applyNumberFormat="1" applyFont="1" applyBorder="1" applyProtection="1"/>
    <xf numFmtId="165" fontId="0" fillId="0" borderId="19" xfId="2" applyNumberFormat="1" applyFont="1" applyBorder="1" applyProtection="1"/>
    <xf numFmtId="165" fontId="0" fillId="0" borderId="20" xfId="2" applyNumberFormat="1" applyFont="1" applyBorder="1" applyProtection="1"/>
    <xf numFmtId="165" fontId="0" fillId="0" borderId="11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1" xfId="0" applyBorder="1" applyProtection="1"/>
    <xf numFmtId="0" fontId="9" fillId="3" borderId="22" xfId="0" quotePrefix="1" applyFont="1" applyFill="1" applyBorder="1" applyAlignment="1" applyProtection="1">
      <alignment horizontal="left" vertical="center" wrapText="1"/>
    </xf>
    <xf numFmtId="165" fontId="0" fillId="3" borderId="23" xfId="2" applyNumberFormat="1" applyFont="1" applyFill="1" applyBorder="1" applyAlignment="1" applyProtection="1">
      <alignment vertical="center"/>
    </xf>
    <xf numFmtId="165" fontId="0" fillId="3" borderId="24" xfId="2" applyNumberFormat="1" applyFont="1" applyFill="1" applyBorder="1" applyAlignment="1" applyProtection="1">
      <alignment vertical="center"/>
    </xf>
    <xf numFmtId="165" fontId="3" fillId="3" borderId="25" xfId="2" applyNumberFormat="1" applyFont="1" applyFill="1" applyBorder="1" applyAlignment="1" applyProtection="1">
      <alignment vertical="center"/>
    </xf>
    <xf numFmtId="165" fontId="3" fillId="3" borderId="26" xfId="2" applyNumberFormat="1" applyFont="1" applyFill="1" applyBorder="1" applyAlignment="1" applyProtection="1">
      <alignment vertical="center"/>
    </xf>
    <xf numFmtId="165" fontId="3" fillId="3" borderId="27" xfId="2" applyNumberFormat="1" applyFont="1" applyFill="1" applyBorder="1" applyAlignment="1" applyProtection="1">
      <alignment vertical="center"/>
    </xf>
    <xf numFmtId="0" fontId="0" fillId="0" borderId="28" xfId="0" quotePrefix="1" applyBorder="1" applyAlignment="1" applyProtection="1">
      <alignment horizontal="left"/>
    </xf>
    <xf numFmtId="0" fontId="0" fillId="0" borderId="20" xfId="0" applyBorder="1" applyProtection="1"/>
    <xf numFmtId="0" fontId="0" fillId="0" borderId="29" xfId="0" applyBorder="1" applyProtection="1"/>
    <xf numFmtId="0" fontId="9" fillId="0" borderId="22" xfId="0" quotePrefix="1" applyFont="1" applyFill="1" applyBorder="1" applyAlignment="1" applyProtection="1">
      <alignment horizontal="left" vertical="center" wrapText="1"/>
    </xf>
    <xf numFmtId="165" fontId="0" fillId="0" borderId="23" xfId="2" applyNumberFormat="1" applyFont="1" applyFill="1" applyBorder="1" applyAlignment="1" applyProtection="1">
      <alignment vertical="center"/>
    </xf>
    <xf numFmtId="165" fontId="0" fillId="0" borderId="24" xfId="2" applyNumberFormat="1" applyFont="1" applyFill="1" applyBorder="1" applyAlignment="1" applyProtection="1">
      <alignment vertical="center"/>
    </xf>
    <xf numFmtId="165" fontId="3" fillId="0" borderId="25" xfId="2" applyNumberFormat="1" applyFont="1" applyFill="1" applyBorder="1" applyAlignment="1" applyProtection="1">
      <alignment vertical="center"/>
    </xf>
    <xf numFmtId="165" fontId="3" fillId="0" borderId="26" xfId="2" applyNumberFormat="1" applyFont="1" applyFill="1" applyBorder="1" applyAlignment="1" applyProtection="1">
      <alignment vertical="center"/>
    </xf>
    <xf numFmtId="165" fontId="3" fillId="0" borderId="27" xfId="2" applyNumberFormat="1" applyFont="1" applyFill="1" applyBorder="1" applyAlignment="1" applyProtection="1">
      <alignment vertical="center"/>
    </xf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30" xfId="2" applyNumberFormat="1" applyFont="1" applyBorder="1" applyAlignment="1" applyProtection="1">
      <alignment vertical="center"/>
    </xf>
    <xf numFmtId="165" fontId="0" fillId="0" borderId="31" xfId="2" applyNumberFormat="1" applyFont="1" applyBorder="1" applyAlignment="1" applyProtection="1">
      <alignment vertical="center"/>
    </xf>
    <xf numFmtId="165" fontId="0" fillId="0" borderId="32" xfId="2" applyNumberFormat="1" applyFont="1" applyBorder="1" applyAlignment="1" applyProtection="1">
      <alignment vertical="center"/>
    </xf>
    <xf numFmtId="165" fontId="0" fillId="0" borderId="33" xfId="2" applyNumberFormat="1" applyFont="1" applyBorder="1" applyAlignment="1" applyProtection="1">
      <alignment vertical="center"/>
    </xf>
    <xf numFmtId="165" fontId="0" fillId="0" borderId="34" xfId="2" applyNumberFormat="1" applyFont="1" applyBorder="1" applyAlignment="1" applyProtection="1">
      <alignment vertical="center"/>
    </xf>
    <xf numFmtId="166" fontId="0" fillId="0" borderId="0" xfId="1" applyNumberFormat="1" applyFont="1" applyProtection="1"/>
    <xf numFmtId="166" fontId="0" fillId="0" borderId="0" xfId="0" applyNumberFormat="1" applyProtection="1"/>
    <xf numFmtId="0" fontId="0" fillId="0" borderId="39" xfId="0" applyBorder="1" applyProtection="1"/>
    <xf numFmtId="0" fontId="0" fillId="0" borderId="40" xfId="0" applyBorder="1" applyProtection="1"/>
    <xf numFmtId="0" fontId="0" fillId="0" borderId="39" xfId="0" pivotButton="1" applyBorder="1" applyProtection="1"/>
    <xf numFmtId="0" fontId="0" fillId="0" borderId="41" xfId="0" applyBorder="1" applyProtection="1"/>
    <xf numFmtId="17" fontId="0" fillId="0" borderId="39" xfId="0" applyNumberFormat="1" applyBorder="1" applyProtection="1"/>
    <xf numFmtId="17" fontId="0" fillId="0" borderId="42" xfId="0" applyNumberFormat="1" applyBorder="1" applyProtection="1"/>
    <xf numFmtId="17" fontId="0" fillId="0" borderId="43" xfId="0" applyNumberFormat="1" applyBorder="1" applyProtection="1"/>
    <xf numFmtId="166" fontId="0" fillId="0" borderId="39" xfId="0" applyNumberFormat="1" applyBorder="1" applyProtection="1"/>
    <xf numFmtId="166" fontId="0" fillId="0" borderId="42" xfId="0" applyNumberFormat="1" applyBorder="1" applyProtection="1"/>
    <xf numFmtId="166" fontId="0" fillId="0" borderId="43" xfId="0" applyNumberFormat="1" applyBorder="1" applyProtection="1"/>
    <xf numFmtId="0" fontId="0" fillId="0" borderId="44" xfId="0" applyBorder="1" applyProtection="1"/>
    <xf numFmtId="166" fontId="0" fillId="0" borderId="44" xfId="0" applyNumberFormat="1" applyBorder="1" applyProtection="1"/>
    <xf numFmtId="166" fontId="0" fillId="0" borderId="45" xfId="0" applyNumberFormat="1" applyBorder="1" applyProtection="1"/>
    <xf numFmtId="0" fontId="0" fillId="0" borderId="46" xfId="0" applyBorder="1" applyProtection="1"/>
    <xf numFmtId="166" fontId="0" fillId="0" borderId="46" xfId="0" applyNumberFormat="1" applyBorder="1" applyProtection="1"/>
    <xf numFmtId="166" fontId="0" fillId="0" borderId="47" xfId="0" applyNumberFormat="1" applyBorder="1" applyProtection="1"/>
    <xf numFmtId="166" fontId="0" fillId="0" borderId="48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7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5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5" xfId="0" quotePrefix="1" applyBorder="1" applyAlignment="1" applyProtection="1">
      <alignment horizontal="right"/>
    </xf>
    <xf numFmtId="0" fontId="0" fillId="0" borderId="24" xfId="0" applyBorder="1" applyAlignment="1" applyProtection="1">
      <alignment horizontal="center"/>
    </xf>
    <xf numFmtId="0" fontId="1" fillId="0" borderId="24" xfId="0" applyFont="1" applyFill="1" applyBorder="1" applyAlignment="1" applyProtection="1">
      <alignment horizontal="center"/>
    </xf>
    <xf numFmtId="164" fontId="3" fillId="0" borderId="26" xfId="0" applyNumberFormat="1" applyFont="1" applyBorder="1" applyAlignment="1" applyProtection="1">
      <alignment horizontal="right"/>
    </xf>
    <xf numFmtId="167" fontId="0" fillId="0" borderId="24" xfId="0" applyNumberFormat="1" applyBorder="1" applyAlignment="1" applyProtection="1">
      <alignment horizontal="center"/>
    </xf>
    <xf numFmtId="167" fontId="0" fillId="4" borderId="26" xfId="0" applyNumberFormat="1" applyFill="1" applyBorder="1" applyAlignment="1" applyProtection="1">
      <alignment horizontal="center"/>
    </xf>
    <xf numFmtId="167" fontId="0" fillId="0" borderId="36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9" xfId="0" applyNumberFormat="1" applyFont="1" applyBorder="1" applyAlignment="1" applyProtection="1">
      <alignment horizontal="right"/>
    </xf>
    <xf numFmtId="14" fontId="1" fillId="0" borderId="18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5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5" xfId="0" applyNumberFormat="1" applyFont="1" applyBorder="1" applyAlignment="1" applyProtection="1">
      <alignment horizontal="center"/>
    </xf>
    <xf numFmtId="14" fontId="0" fillId="0" borderId="18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5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7" xfId="0" quotePrefix="1" applyFont="1" applyBorder="1" applyAlignment="1" applyProtection="1">
      <alignment horizontal="center"/>
    </xf>
    <xf numFmtId="164" fontId="4" fillId="0" borderId="23" xfId="0" quotePrefix="1" applyNumberFormat="1" applyFont="1" applyBorder="1" applyAlignment="1" applyProtection="1">
      <alignment horizontal="center" vertical="center" wrapText="1"/>
    </xf>
    <xf numFmtId="0" fontId="4" fillId="0" borderId="24" xfId="0" quotePrefix="1" applyFont="1" applyBorder="1" applyAlignment="1" applyProtection="1">
      <alignment horizontal="center" vertical="center" wrapText="1"/>
    </xf>
    <xf numFmtId="164" fontId="4" fillId="5" borderId="24" xfId="0" quotePrefix="1" applyNumberFormat="1" applyFont="1" applyFill="1" applyBorder="1" applyAlignment="1" applyProtection="1">
      <alignment horizontal="center" vertical="center" wrapText="1"/>
    </xf>
    <xf numFmtId="164" fontId="4" fillId="0" borderId="24" xfId="0" applyNumberFormat="1" applyFont="1" applyBorder="1" applyAlignment="1" applyProtection="1">
      <alignment horizontal="center" vertical="center" wrapText="1"/>
    </xf>
    <xf numFmtId="164" fontId="4" fillId="0" borderId="36" xfId="0" applyNumberFormat="1" applyFont="1" applyBorder="1" applyAlignment="1" applyProtection="1">
      <alignment horizontal="center" vertical="center" wrapText="1"/>
    </xf>
    <xf numFmtId="164" fontId="4" fillId="0" borderId="37" xfId="0" applyNumberFormat="1" applyFont="1" applyBorder="1" applyAlignment="1" applyProtection="1">
      <alignment horizontal="center" vertical="center" wrapText="1"/>
    </xf>
    <xf numFmtId="164" fontId="4" fillId="0" borderId="29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20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8" xfId="0" applyNumberFormat="1" applyBorder="1" applyAlignment="1" applyProtection="1">
      <alignment horizontal="center"/>
    </xf>
    <xf numFmtId="14" fontId="1" fillId="0" borderId="38" xfId="0" applyNumberFormat="1" applyFont="1" applyFill="1" applyBorder="1" applyProtection="1"/>
    <xf numFmtId="14" fontId="7" fillId="2" borderId="38" xfId="0" applyNumberFormat="1" applyFont="1" applyFill="1" applyBorder="1" applyAlignment="1" applyProtection="1">
      <alignment horizontal="left"/>
    </xf>
    <xf numFmtId="0" fontId="0" fillId="0" borderId="38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8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64" fontId="1" fillId="0" borderId="37" xfId="0" applyNumberFormat="1" applyFont="1" applyBorder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164" fontId="0" fillId="0" borderId="20" xfId="0" applyNumberFormat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49" xfId="0" applyBorder="1" applyProtection="1"/>
    <xf numFmtId="0" fontId="0" fillId="0" borderId="50" xfId="0" applyBorder="1" applyProtection="1"/>
    <xf numFmtId="0" fontId="0" fillId="0" borderId="0" xfId="0" quotePrefix="1" applyBorder="1" applyAlignment="1" applyProtection="1">
      <alignment horizontal="center"/>
    </xf>
    <xf numFmtId="166" fontId="0" fillId="0" borderId="0" xfId="0" applyNumberFormat="1" applyFill="1" applyBorder="1" applyProtection="1"/>
    <xf numFmtId="166" fontId="25" fillId="0" borderId="44" xfId="0" applyNumberFormat="1" applyFont="1" applyBorder="1" applyProtection="1"/>
    <xf numFmtId="166" fontId="25" fillId="0" borderId="0" xfId="0" applyNumberFormat="1" applyFont="1" applyProtection="1"/>
    <xf numFmtId="166" fontId="25" fillId="0" borderId="45" xfId="0" applyNumberFormat="1" applyFont="1" applyBorder="1" applyProtection="1"/>
    <xf numFmtId="166" fontId="25" fillId="0" borderId="39" xfId="0" applyNumberFormat="1" applyFont="1" applyBorder="1" applyProtection="1"/>
    <xf numFmtId="166" fontId="25" fillId="0" borderId="42" xfId="0" applyNumberFormat="1" applyFont="1" applyBorder="1" applyProtection="1"/>
    <xf numFmtId="166" fontId="25" fillId="0" borderId="43" xfId="0" applyNumberFormat="1" applyFont="1" applyBorder="1" applyProtection="1"/>
    <xf numFmtId="167" fontId="7" fillId="6" borderId="26" xfId="0" applyNumberFormat="1" applyFont="1" applyFill="1" applyBorder="1" applyAlignment="1" applyProtection="1">
      <alignment horizontal="center"/>
    </xf>
    <xf numFmtId="14" fontId="7" fillId="6" borderId="0" xfId="3" applyNumberFormat="1" applyFont="1" applyFill="1"/>
    <xf numFmtId="14" fontId="7" fillId="2" borderId="8" xfId="3" applyNumberFormat="1" applyFont="1" applyFill="1" applyBorder="1"/>
    <xf numFmtId="14" fontId="7" fillId="6" borderId="8" xfId="3" applyNumberFormat="1" applyFont="1" applyFill="1" applyBorder="1"/>
    <xf numFmtId="164" fontId="4" fillId="0" borderId="14" xfId="0" quotePrefix="1" applyNumberFormat="1" applyFont="1" applyFill="1" applyBorder="1" applyAlignment="1" applyProtection="1">
      <alignment horizontal="center" wrapText="1"/>
    </xf>
    <xf numFmtId="164" fontId="5" fillId="0" borderId="0" xfId="0" applyNumberFormat="1" applyFont="1" applyFill="1" applyBorder="1" applyAlignment="1" applyProtection="1">
      <alignment horizontal="center"/>
    </xf>
    <xf numFmtId="164" fontId="4" fillId="0" borderId="24" xfId="0" quotePrefix="1" applyNumberFormat="1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left" vertical="center"/>
    </xf>
    <xf numFmtId="0" fontId="4" fillId="0" borderId="24" xfId="0" quotePrefix="1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colors>
    <mruColors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349016" refreshedDate="45069.399578124998" createdVersion="6" refreshedVersion="7" recordCount="192" xr:uid="{00000000-000A-0000-FFFF-FFFFA2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2-12-02T00:00:00" count="156"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2-02-03T00:00:00" maxDate="2023-01-05T00:00:00"/>
    </cacheField>
    <cacheField name="Payment Received*" numFmtId="14">
      <sharedItems containsSemiMixedTypes="0" containsNonDate="0" containsDate="1" containsString="0" minDate="2022-02-23T00:00:00" maxDate="2023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230"/>
    </cacheField>
    <cacheField name="Projected Rate (as Invoiced)" numFmtId="164">
      <sharedItems containsSemiMixedTypes="0" containsString="0" containsNumber="1" minValue="5.6216525614293303E-4" maxValue="5.6216525614293303E-4"/>
    </cacheField>
    <cacheField name="Actual True-Up Rate" numFmtId="164">
      <sharedItems containsSemiMixedTypes="0" containsString="0" containsNumber="1" minValue="4.2858466888302956E-4" maxValue="4.2858466888302956E-4"/>
    </cacheField>
    <cacheField name="True-Up Charge" numFmtId="164">
      <sharedItems containsSemiMixedTypes="0" containsString="0" containsNumber="1" minValue="4.2858466888302956E-4" maxValue="1.8129131493752151"/>
    </cacheField>
    <cacheField name="Invoiced*** Charge (proj.)" numFmtId="164">
      <sharedItems containsSemiMixedTypes="0" containsString="0" containsNumber="1" minValue="5.6216525614293303E-4" maxValue="2.3779590334846068"/>
    </cacheField>
    <cacheField name="True-Up w/o Interest" numFmtId="164">
      <sharedItems containsSemiMixedTypes="0" containsString="0" containsNumber="1" minValue="-0.56504588410939172" maxValue="-1.3358058725990347E-4"/>
    </cacheField>
    <cacheField name="Interest" numFmtId="164">
      <sharedItems containsSemiMixedTypes="0" containsString="0" containsNumber="1" minValue="-2.3334230453500925E-2" maxValue="-5.5163665374706677E-6"/>
    </cacheField>
    <cacheField name="2021 True Up Including Interest" numFmtId="164">
      <sharedItems containsSemiMixedTypes="0" containsString="0" containsNumber="1" minValue="-0.58838011456289263" maxValue="-1.3909695379737413E-4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-0.58838011456289263" maxValue="-1.3909695379737413E-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2-02-03T00:00:00"/>
    <d v="2022-02-23T00:00:00"/>
    <x v="0"/>
    <n v="9"/>
    <n v="2899"/>
    <n v="5.6216525614293303E-4"/>
    <n v="4.2858466888302956E-4"/>
    <n v="1.2424669550919027"/>
    <n v="1.6297170775583629"/>
    <n v="-0.38725012246646018"/>
    <n v="-1.5991946592127465E-2"/>
    <n v="-0.40324206905858762"/>
    <n v="0"/>
    <n v="0"/>
    <n v="0"/>
    <n v="-0.40324206905858762"/>
  </r>
  <r>
    <x v="1"/>
    <d v="2022-03-03T00:00:00"/>
    <d v="2022-03-22T00:00:00"/>
    <x v="0"/>
    <n v="9"/>
    <n v="2759"/>
    <n v="5.6216525614293303E-4"/>
    <n v="4.2858466888302956E-4"/>
    <n v="1.1824651014482785"/>
    <n v="1.5510139416983522"/>
    <n v="-0.36854884025007362"/>
    <n v="-1.5219655276881572E-2"/>
    <n v="-0.38376849552695519"/>
    <n v="0"/>
    <n v="0"/>
    <n v="0"/>
    <n v="-0.38376849552695519"/>
  </r>
  <r>
    <x v="2"/>
    <d v="2022-04-05T00:00:00"/>
    <d v="2022-04-25T00:00:00"/>
    <x v="0"/>
    <n v="9"/>
    <n v="2450"/>
    <n v="5.6216525614293303E-4"/>
    <n v="4.2858466888302956E-4"/>
    <n v="1.0500324387634223"/>
    <n v="1.3773048775501859"/>
    <n v="-0.3272724387867636"/>
    <n v="-1.3515098016803135E-2"/>
    <n v="-0.34078753680356672"/>
    <n v="0"/>
    <n v="0"/>
    <n v="0"/>
    <n v="-0.34078753680356672"/>
  </r>
  <r>
    <x v="3"/>
    <d v="2022-05-04T00:00:00"/>
    <d v="2022-05-24T00:00:00"/>
    <x v="0"/>
    <n v="9"/>
    <n v="2395"/>
    <n v="5.6216525614293303E-4"/>
    <n v="4.2858466888302956E-4"/>
    <n v="1.0264602819748558"/>
    <n v="1.3463857884623247"/>
    <n v="-0.31992550648746887"/>
    <n v="-1.3211697857242247E-2"/>
    <n v="-0.33313720434471111"/>
    <n v="0"/>
    <n v="0"/>
    <n v="0"/>
    <n v="-0.33313720434471111"/>
  </r>
  <r>
    <x v="4"/>
    <d v="2022-06-03T00:00:00"/>
    <d v="2022-06-23T00:00:00"/>
    <x v="0"/>
    <n v="9"/>
    <n v="3482"/>
    <n v="5.6216525614293303E-4"/>
    <n v="4.2858466888302956E-4"/>
    <n v="1.4923318170507089"/>
    <n v="1.9574594218896928"/>
    <n v="-0.46512760483898385"/>
    <n v="-1.9207988283472865E-2"/>
    <n v="-0.48433559312245672"/>
    <n v="0"/>
    <n v="0"/>
    <n v="0"/>
    <n v="-0.48433559312245672"/>
  </r>
  <r>
    <x v="5"/>
    <d v="2022-07-05T00:00:00"/>
    <d v="2022-07-25T00:00:00"/>
    <x v="0"/>
    <n v="9"/>
    <n v="4006"/>
    <n v="5.6216525614293303E-4"/>
    <n v="4.2858466888302956E-4"/>
    <n v="1.7169101835454164"/>
    <n v="2.2520340161085897"/>
    <n v="-0.53512383256317331"/>
    <n v="-2.2098564349107494E-2"/>
    <n v="-0.55722239691228082"/>
    <n v="0"/>
    <n v="0"/>
    <n v="0"/>
    <n v="-0.55722239691228082"/>
  </r>
  <r>
    <x v="6"/>
    <d v="2022-08-03T00:00:00"/>
    <d v="2022-08-23T00:00:00"/>
    <x v="0"/>
    <n v="9"/>
    <n v="4230"/>
    <n v="5.6216525614293303E-4"/>
    <n v="4.2858466888302956E-4"/>
    <n v="1.8129131493752151"/>
    <n v="2.3779590334846068"/>
    <n v="-0.56504588410939172"/>
    <n v="-2.3334230453500925E-2"/>
    <n v="-0.58838011456289263"/>
    <n v="0"/>
    <n v="0"/>
    <n v="0"/>
    <n v="-0.58838011456289263"/>
  </r>
  <r>
    <x v="7"/>
    <d v="2022-09-05T00:00:00"/>
    <d v="2022-09-23T00:00:00"/>
    <x v="0"/>
    <n v="9"/>
    <n v="4151"/>
    <n v="5.6216525614293303E-4"/>
    <n v="4.2858466888302956E-4"/>
    <n v="1.7790549605334558"/>
    <n v="2.3335479782493151"/>
    <n v="-0.55449301771585935"/>
    <n v="-2.2898437497040739E-2"/>
    <n v="-0.57739145521290014"/>
    <n v="0"/>
    <n v="0"/>
    <n v="0"/>
    <n v="-0.57739145521290014"/>
  </r>
  <r>
    <x v="8"/>
    <d v="2022-10-05T00:00:00"/>
    <d v="2022-10-25T00:00:00"/>
    <x v="0"/>
    <n v="9"/>
    <n v="3898"/>
    <n v="5.6216525614293303E-4"/>
    <n v="4.2858466888302956E-4"/>
    <n v="1.6706230393060493"/>
    <n v="2.1913201684451531"/>
    <n v="-0.52069712913910382"/>
    <n v="-2.1502796763060664E-2"/>
    <n v="-0.54219992590216448"/>
    <n v="0"/>
    <n v="0"/>
    <n v="0"/>
    <n v="-0.54219992590216448"/>
  </r>
  <r>
    <x v="9"/>
    <d v="2022-11-03T00:00:00"/>
    <d v="2022-11-23T00:00:00"/>
    <x v="0"/>
    <n v="9"/>
    <n v="2760"/>
    <n v="5.6216525614293303E-4"/>
    <n v="4.2858466888302956E-4"/>
    <n v="1.1828936861171615"/>
    <n v="1.5515761069544951"/>
    <n v="-0.3686824208373336"/>
    <n v="-1.5225171643419043E-2"/>
    <n v="-0.38390759248075262"/>
    <n v="0"/>
    <n v="0"/>
    <n v="0"/>
    <n v="-0.38390759248075262"/>
  </r>
  <r>
    <x v="10"/>
    <d v="2022-12-05T00:00:00"/>
    <d v="2022-12-23T00:00:00"/>
    <x v="0"/>
    <n v="9"/>
    <n v="2561"/>
    <n v="5.6216525614293303E-4"/>
    <n v="4.2858466888302956E-4"/>
    <n v="1.0976053370094387"/>
    <n v="1.4397052209820516"/>
    <n v="-0.34209988397261282"/>
    <n v="-1.4127414702462378E-2"/>
    <n v="-0.35622729867507519"/>
    <n v="0"/>
    <n v="0"/>
    <n v="0"/>
    <n v="-0.35622729867507519"/>
  </r>
  <r>
    <x v="11"/>
    <d v="2023-01-04T00:00:00"/>
    <d v="2023-01-24T00:00:00"/>
    <x v="0"/>
    <n v="9"/>
    <n v="3150"/>
    <n v="5.6216525614293303E-4"/>
    <n v="4.2858466888302956E-4"/>
    <n v="1.3500417069815431"/>
    <n v="1.7708205568502391"/>
    <n v="-0.42077884986869596"/>
    <n v="-1.7376554593032601E-2"/>
    <n v="-0.43815540446172857"/>
    <n v="0"/>
    <n v="0"/>
    <n v="0"/>
    <n v="-0.43815540446172857"/>
  </r>
  <r>
    <x v="0"/>
    <d v="2022-02-03T00:00:00"/>
    <d v="2022-02-23T00:00:00"/>
    <x v="1"/>
    <n v="9"/>
    <n v="2921"/>
    <n v="5.6216525614293303E-4"/>
    <n v="4.2858466888302956E-4"/>
    <n v="1.2518958178073294"/>
    <n v="1.6420847131935075"/>
    <n v="-0.39018889538617807"/>
    <n v="-1.6113306655951818E-2"/>
    <n v="-0.40630220204212991"/>
    <n v="0"/>
    <n v="0"/>
    <n v="0"/>
    <n v="-0.40630220204212991"/>
  </r>
  <r>
    <x v="1"/>
    <d v="2022-03-03T00:00:00"/>
    <d v="2022-03-22T00:00:00"/>
    <x v="1"/>
    <n v="9"/>
    <n v="2853"/>
    <n v="5.6216525614293303E-4"/>
    <n v="4.2858466888302956E-4"/>
    <n v="1.2227520603232833"/>
    <n v="1.603857475775788"/>
    <n v="-0.38110541545250465"/>
    <n v="-1.5738193731403814E-2"/>
    <n v="-0.39684360918390849"/>
    <n v="0"/>
    <n v="0"/>
    <n v="0"/>
    <n v="-0.39684360918390849"/>
  </r>
  <r>
    <x v="2"/>
    <d v="2022-04-05T00:00:00"/>
    <d v="2022-04-25T00:00:00"/>
    <x v="1"/>
    <n v="9"/>
    <n v="2560"/>
    <n v="5.6216525614293303E-4"/>
    <n v="4.2858466888302956E-4"/>
    <n v="1.0971767523405558"/>
    <n v="1.4391430557259086"/>
    <n v="-0.34196630338535283"/>
    <n v="-1.4121898335924908E-2"/>
    <n v="-0.35608820172127775"/>
    <n v="0"/>
    <n v="0"/>
    <n v="0"/>
    <n v="-0.35608820172127775"/>
  </r>
  <r>
    <x v="3"/>
    <d v="2022-05-04T00:00:00"/>
    <d v="2022-05-24T00:00:00"/>
    <x v="1"/>
    <n v="9"/>
    <n v="2434"/>
    <n v="5.6216525614293303E-4"/>
    <n v="4.2858466888302956E-4"/>
    <n v="1.0431750840612939"/>
    <n v="1.3683102334518991"/>
    <n v="-0.32513514939060517"/>
    <n v="-1.3426836152203605E-2"/>
    <n v="-0.33856198554280875"/>
    <n v="0"/>
    <n v="0"/>
    <n v="0"/>
    <n v="-0.33856198554280875"/>
  </r>
  <r>
    <x v="4"/>
    <d v="2022-06-03T00:00:00"/>
    <d v="2022-06-23T00:00:00"/>
    <x v="1"/>
    <n v="9"/>
    <n v="3117"/>
    <n v="5.6216525614293303E-4"/>
    <n v="4.2858466888302956E-4"/>
    <n v="1.3358984129084031"/>
    <n v="1.7522691033975222"/>
    <n v="-0.41637069048911912"/>
    <n v="-1.719451449729607E-2"/>
    <n v="-0.43356520498641521"/>
    <n v="0"/>
    <n v="0"/>
    <n v="0"/>
    <n v="-0.43356520498641521"/>
  </r>
  <r>
    <x v="5"/>
    <d v="2022-07-05T00:00:00"/>
    <d v="2022-07-25T00:00:00"/>
    <x v="1"/>
    <n v="9"/>
    <n v="3536"/>
    <n v="5.6216525614293303E-4"/>
    <n v="4.2858466888302956E-4"/>
    <n v="1.5154753891703925"/>
    <n v="1.9878163457214113"/>
    <n v="-0.47234095655101882"/>
    <n v="-1.9505872076496282E-2"/>
    <n v="-0.49184682862751511"/>
    <n v="0"/>
    <n v="0"/>
    <n v="0"/>
    <n v="-0.49184682862751511"/>
  </r>
  <r>
    <x v="6"/>
    <d v="2022-08-03T00:00:00"/>
    <d v="2022-08-23T00:00:00"/>
    <x v="1"/>
    <n v="9"/>
    <n v="3696"/>
    <n v="5.6216525614293303E-4"/>
    <n v="4.2858466888302956E-4"/>
    <n v="1.5840489361916772"/>
    <n v="2.0777627867042803"/>
    <n v="-0.49371385051260308"/>
    <n v="-2.038849072249159E-2"/>
    <n v="-0.51410234123509468"/>
    <n v="0"/>
    <n v="0"/>
    <n v="0"/>
    <n v="-0.51410234123509468"/>
  </r>
  <r>
    <x v="7"/>
    <d v="2022-09-05T00:00:00"/>
    <d v="2022-09-23T00:00:00"/>
    <x v="1"/>
    <n v="9"/>
    <n v="3632"/>
    <n v="5.6216525614293303E-4"/>
    <n v="4.2858466888302956E-4"/>
    <n v="1.5566195173831634"/>
    <n v="2.0417842103111328"/>
    <n v="-0.48516469292796938"/>
    <n v="-2.0035443264093466E-2"/>
    <n v="-0.50520013619206283"/>
    <n v="0"/>
    <n v="0"/>
    <n v="0"/>
    <n v="-0.50520013619206283"/>
  </r>
  <r>
    <x v="8"/>
    <d v="2022-10-05T00:00:00"/>
    <d v="2022-10-25T00:00:00"/>
    <x v="1"/>
    <n v="9"/>
    <n v="3337"/>
    <n v="5.6216525614293303E-4"/>
    <n v="4.2858466888302956E-4"/>
    <n v="1.4301870400626697"/>
    <n v="1.8759454597489675"/>
    <n v="-0.44575841968629781"/>
    <n v="-1.8408115135539617E-2"/>
    <n v="-0.46416653482183745"/>
    <n v="0"/>
    <n v="0"/>
    <n v="0"/>
    <n v="-0.46416653482183745"/>
  </r>
  <r>
    <x v="9"/>
    <d v="2022-11-03T00:00:00"/>
    <d v="2022-11-23T00:00:00"/>
    <x v="1"/>
    <n v="9"/>
    <n v="2496"/>
    <n v="5.6216525614293303E-4"/>
    <n v="4.2858466888302956E-4"/>
    <n v="1.0697473335320418"/>
    <n v="1.4031644793327609"/>
    <n v="-0.33341714580071913"/>
    <n v="-1.3768850877526785E-2"/>
    <n v="-0.3471859966782459"/>
    <n v="0"/>
    <n v="0"/>
    <n v="0"/>
    <n v="-0.3471859966782459"/>
  </r>
  <r>
    <x v="10"/>
    <d v="2022-12-05T00:00:00"/>
    <d v="2022-12-23T00:00:00"/>
    <x v="1"/>
    <n v="9"/>
    <n v="2518"/>
    <n v="5.6216525614293303E-4"/>
    <n v="4.2858466888302956E-4"/>
    <n v="1.0791761962474684"/>
    <n v="1.4155321149679054"/>
    <n v="-0.33635591872043702"/>
    <n v="-1.3890210941351141E-2"/>
    <n v="-0.35024612966178814"/>
    <n v="0"/>
    <n v="0"/>
    <n v="0"/>
    <n v="-0.35024612966178814"/>
  </r>
  <r>
    <x v="11"/>
    <d v="2023-01-04T00:00:00"/>
    <d v="2023-01-24T00:00:00"/>
    <x v="1"/>
    <n v="9"/>
    <n v="3399"/>
    <n v="5.6216525614293303E-4"/>
    <n v="4.2858466888302956E-4"/>
    <n v="1.4567592895334174"/>
    <n v="1.9107997056298294"/>
    <n v="-0.45404041609641199"/>
    <n v="-1.8750129860862799E-2"/>
    <n v="-0.47279054595727477"/>
    <n v="0"/>
    <n v="0"/>
    <n v="0"/>
    <n v="-0.47279054595727477"/>
  </r>
  <r>
    <x v="0"/>
    <d v="2022-02-03T00:00:00"/>
    <d v="2022-02-23T00:00:00"/>
    <x v="2"/>
    <n v="9"/>
    <n v="163"/>
    <n v="5.6216525614293303E-4"/>
    <n v="4.2858466888302956E-4"/>
    <n v="6.9859301027933821E-2"/>
    <n v="9.1632936751298077E-2"/>
    <n v="-2.1773635723364257E-2"/>
    <n v="-8.9916774560771877E-4"/>
    <n v="-2.2672803468971974E-2"/>
    <n v="0"/>
    <n v="0"/>
    <n v="0"/>
    <n v="-2.2672803468971974E-2"/>
  </r>
  <r>
    <x v="1"/>
    <d v="2022-03-03T00:00:00"/>
    <d v="2022-03-22T00:00:00"/>
    <x v="2"/>
    <n v="9"/>
    <n v="155"/>
    <n v="5.6216525614293303E-4"/>
    <n v="4.2858466888302956E-4"/>
    <n v="6.6430623676869582E-2"/>
    <n v="8.7135614702154626E-2"/>
    <n v="-2.0704991025285044E-2"/>
    <n v="-8.5503681330795342E-4"/>
    <n v="-2.1560027838592996E-2"/>
    <n v="0"/>
    <n v="0"/>
    <n v="0"/>
    <n v="-2.1560027838592996E-2"/>
  </r>
  <r>
    <x v="2"/>
    <d v="2022-04-05T00:00:00"/>
    <d v="2022-04-25T00:00:00"/>
    <x v="2"/>
    <n v="9"/>
    <n v="141"/>
    <n v="5.6216525614293303E-4"/>
    <n v="4.2858466888302956E-4"/>
    <n v="6.0430438312507169E-2"/>
    <n v="7.9265301116153555E-2"/>
    <n v="-1.8834862803646386E-2"/>
    <n v="-7.7780768178336418E-4"/>
    <n v="-1.9612670485429751E-2"/>
    <n v="0"/>
    <n v="0"/>
    <n v="0"/>
    <n v="-1.9612670485429751E-2"/>
  </r>
  <r>
    <x v="3"/>
    <d v="2022-05-04T00:00:00"/>
    <d v="2022-05-24T00:00:00"/>
    <x v="2"/>
    <n v="9"/>
    <n v="92"/>
    <n v="5.6216525614293303E-4"/>
    <n v="4.2858466888302956E-4"/>
    <n v="3.9429789537238719E-2"/>
    <n v="5.1719203565149842E-2"/>
    <n v="-1.2289414027911123E-2"/>
    <n v="-5.0750572144730142E-4"/>
    <n v="-1.2796919749358425E-2"/>
    <n v="0"/>
    <n v="0"/>
    <n v="0"/>
    <n v="-1.2796919749358425E-2"/>
  </r>
  <r>
    <x v="4"/>
    <d v="2022-06-03T00:00:00"/>
    <d v="2022-06-23T00:00:00"/>
    <x v="2"/>
    <n v="9"/>
    <n v="131"/>
    <n v="5.6216525614293303E-4"/>
    <n v="4.2858466888302956E-4"/>
    <n v="5.6144591623676875E-2"/>
    <n v="7.3643648554724231E-2"/>
    <n v="-1.7499056931047356E-2"/>
    <n v="-7.2264401640865746E-4"/>
    <n v="-1.8221700947456013E-2"/>
    <n v="0"/>
    <n v="0"/>
    <n v="0"/>
    <n v="-1.8221700947456013E-2"/>
  </r>
  <r>
    <x v="5"/>
    <d v="2022-07-05T00:00:00"/>
    <d v="2022-07-25T00:00:00"/>
    <x v="2"/>
    <n v="9"/>
    <n v="152"/>
    <n v="5.6216525614293303E-4"/>
    <n v="4.2858466888302956E-4"/>
    <n v="6.5144869670220498E-2"/>
    <n v="8.5449118933725823E-2"/>
    <n v="-2.0304249263505325E-2"/>
    <n v="-8.3848771369554142E-4"/>
    <n v="-2.1142736977200868E-2"/>
    <n v="0"/>
    <n v="0"/>
    <n v="0"/>
    <n v="-2.1142736977200868E-2"/>
  </r>
  <r>
    <x v="6"/>
    <d v="2022-08-03T00:00:00"/>
    <d v="2022-08-23T00:00:00"/>
    <x v="2"/>
    <n v="9"/>
    <n v="149"/>
    <n v="5.6216525614293303E-4"/>
    <n v="4.2858466888302956E-4"/>
    <n v="6.38591156635714E-2"/>
    <n v="8.376262316529702E-2"/>
    <n v="-1.990350750172562E-2"/>
    <n v="-8.2193861408312954E-4"/>
    <n v="-2.072544611580875E-2"/>
    <n v="0"/>
    <n v="0"/>
    <n v="0"/>
    <n v="-2.072544611580875E-2"/>
  </r>
  <r>
    <x v="7"/>
    <d v="2022-09-05T00:00:00"/>
    <d v="2022-09-23T00:00:00"/>
    <x v="2"/>
    <n v="9"/>
    <n v="137"/>
    <n v="5.6216525614293303E-4"/>
    <n v="4.2858466888302956E-4"/>
    <n v="5.871609963697505E-2"/>
    <n v="7.7016640091581823E-2"/>
    <n v="-1.8300540454606773E-2"/>
    <n v="-7.5574221563348145E-4"/>
    <n v="-1.9056282670240253E-2"/>
    <n v="0"/>
    <n v="0"/>
    <n v="0"/>
    <n v="-1.9056282670240253E-2"/>
  </r>
  <r>
    <x v="8"/>
    <d v="2022-10-05T00:00:00"/>
    <d v="2022-10-25T00:00:00"/>
    <x v="2"/>
    <n v="9"/>
    <n v="136"/>
    <n v="5.6216525614293303E-4"/>
    <n v="4.2858466888302956E-4"/>
    <n v="5.8287514968092022E-2"/>
    <n v="7.6454474835438893E-2"/>
    <n v="-1.8166959867346871E-2"/>
    <n v="-7.5022584909601082E-4"/>
    <n v="-1.8917185716442884E-2"/>
    <n v="0"/>
    <n v="0"/>
    <n v="0"/>
    <n v="-1.8917185716442884E-2"/>
  </r>
  <r>
    <x v="9"/>
    <d v="2022-11-03T00:00:00"/>
    <d v="2022-11-23T00:00:00"/>
    <x v="2"/>
    <n v="9"/>
    <n v="91"/>
    <n v="5.6216525614293303E-4"/>
    <n v="4.2858466888302956E-4"/>
    <n v="3.9001204868355691E-2"/>
    <n v="5.1157038309006905E-2"/>
    <n v="-1.2155833440651215E-2"/>
    <n v="-5.0198935490983069E-4"/>
    <n v="-1.2657822795561045E-2"/>
    <n v="0"/>
    <n v="0"/>
    <n v="0"/>
    <n v="-1.2657822795561045E-2"/>
  </r>
  <r>
    <x v="10"/>
    <d v="2022-12-05T00:00:00"/>
    <d v="2022-12-23T00:00:00"/>
    <x v="2"/>
    <n v="9"/>
    <n v="113"/>
    <n v="5.6216525614293303E-4"/>
    <n v="4.2858466888302956E-4"/>
    <n v="4.8430067583782342E-2"/>
    <n v="6.3524673944151427E-2"/>
    <n v="-1.5094606360369085E-2"/>
    <n v="-6.2334941873418549E-4"/>
    <n v="-1.571795577910327E-2"/>
    <n v="0"/>
    <n v="0"/>
    <n v="0"/>
    <n v="-1.571795577910327E-2"/>
  </r>
  <r>
    <x v="11"/>
    <d v="2023-01-04T00:00:00"/>
    <d v="2023-01-24T00:00:00"/>
    <x v="2"/>
    <n v="9"/>
    <n v="210"/>
    <n v="5.6216525614293303E-4"/>
    <n v="4.2858466888302956E-4"/>
    <n v="9.0002780465436208E-2"/>
    <n v="0.11805470379001594"/>
    <n v="-2.8051923324579731E-2"/>
    <n v="-1.1584369728688403E-3"/>
    <n v="-2.921036029744857E-2"/>
    <n v="0"/>
    <n v="0"/>
    <n v="0"/>
    <n v="-2.921036029744857E-2"/>
  </r>
  <r>
    <x v="0"/>
    <d v="2022-02-03T00:00:00"/>
    <d v="2022-02-23T00:00:00"/>
    <x v="3"/>
    <n v="9"/>
    <n v="893"/>
    <n v="5.6216525614293303E-4"/>
    <n v="4.2858466888302956E-4"/>
    <n v="0.38272610931254541"/>
    <n v="0.50201357373563915"/>
    <n v="-0.11928746442309374"/>
    <n v="-4.9261153179613057E-3"/>
    <n v="-0.12421357974105504"/>
    <n v="0"/>
    <n v="0"/>
    <n v="0"/>
    <n v="-0.12421357974105504"/>
  </r>
  <r>
    <x v="1"/>
    <d v="2022-03-03T00:00:00"/>
    <d v="2022-03-22T00:00:00"/>
    <x v="3"/>
    <n v="9"/>
    <n v="796"/>
    <n v="5.6216525614293303E-4"/>
    <n v="4.2858466888302956E-4"/>
    <n v="0.34115339643089154"/>
    <n v="0.44748354388977468"/>
    <n v="-0.10633014745888314"/>
    <n v="-4.3910277638266517E-3"/>
    <n v="-0.11072117522270979"/>
    <n v="0"/>
    <n v="0"/>
    <n v="0"/>
    <n v="-0.11072117522270979"/>
  </r>
  <r>
    <x v="2"/>
    <d v="2022-04-05T00:00:00"/>
    <d v="2022-04-25T00:00:00"/>
    <x v="3"/>
    <n v="9"/>
    <n v="700"/>
    <n v="5.6216525614293303E-4"/>
    <n v="4.2858466888302956E-4"/>
    <n v="0.30000926821812068"/>
    <n v="0.3935156793000531"/>
    <n v="-9.3506411081932417E-2"/>
    <n v="-3.8614565762294674E-3"/>
    <n v="-9.7367867658161883E-2"/>
    <n v="0"/>
    <n v="0"/>
    <n v="0"/>
    <n v="-9.7367867658161883E-2"/>
  </r>
  <r>
    <x v="3"/>
    <d v="2022-05-04T00:00:00"/>
    <d v="2022-05-24T00:00:00"/>
    <x v="3"/>
    <n v="9"/>
    <n v="549"/>
    <n v="5.6216525614293303E-4"/>
    <n v="4.2858466888302956E-4"/>
    <n v="0.23529298321678324"/>
    <n v="0.30862872562247023"/>
    <n v="-7.3335742405686993E-2"/>
    <n v="-3.0284852290713964E-3"/>
    <n v="-7.6364227634758391E-2"/>
    <n v="0"/>
    <n v="0"/>
    <n v="0"/>
    <n v="-7.6364227634758391E-2"/>
  </r>
  <r>
    <x v="4"/>
    <d v="2022-06-03T00:00:00"/>
    <d v="2022-06-23T00:00:00"/>
    <x v="3"/>
    <n v="9"/>
    <n v="753"/>
    <n v="5.6216525614293303E-4"/>
    <n v="4.2858466888302956E-4"/>
    <n v="0.32272425566892127"/>
    <n v="0.42331043787562855"/>
    <n v="-0.10058618220670729"/>
    <n v="-4.1538240027154125E-3"/>
    <n v="-0.1047400062094227"/>
    <n v="0"/>
    <n v="0"/>
    <n v="0"/>
    <n v="-0.1047400062094227"/>
  </r>
  <r>
    <x v="5"/>
    <d v="2022-07-05T00:00:00"/>
    <d v="2022-07-25T00:00:00"/>
    <x v="3"/>
    <n v="9"/>
    <n v="942"/>
    <n v="5.6216525614293303E-4"/>
    <n v="4.2858466888302956E-4"/>
    <n v="0.40372675808781383"/>
    <n v="0.52955967128664294"/>
    <n v="-0.12583291319882911"/>
    <n v="-5.1964172782973696E-3"/>
    <n v="-0.13102933047712648"/>
    <n v="0"/>
    <n v="0"/>
    <n v="0"/>
    <n v="-0.13102933047712648"/>
  </r>
  <r>
    <x v="6"/>
    <d v="2022-08-03T00:00:00"/>
    <d v="2022-08-23T00:00:00"/>
    <x v="3"/>
    <n v="9"/>
    <n v="1036"/>
    <n v="5.6216525614293303E-4"/>
    <n v="4.2858466888302956E-4"/>
    <n v="0.44401371696281861"/>
    <n v="0.58240320536407864"/>
    <n v="-0.13838948840126003"/>
    <n v="-5.7149557328196113E-3"/>
    <n v="-0.14410444413407963"/>
    <n v="0"/>
    <n v="0"/>
    <n v="0"/>
    <n v="-0.14410444413407963"/>
  </r>
  <r>
    <x v="7"/>
    <d v="2022-09-05T00:00:00"/>
    <d v="2022-09-23T00:00:00"/>
    <x v="3"/>
    <n v="9"/>
    <n v="954"/>
    <n v="5.6216525614293303E-4"/>
    <n v="4.2858466888302956E-4"/>
    <n v="0.40886977411441022"/>
    <n v="0.53630565436035815"/>
    <n v="-0.12743588024594793"/>
    <n v="-5.2626136767470163E-3"/>
    <n v="-0.13269849392269495"/>
    <n v="0"/>
    <n v="0"/>
    <n v="0"/>
    <n v="-0.13269849392269495"/>
  </r>
  <r>
    <x v="8"/>
    <d v="2022-10-05T00:00:00"/>
    <d v="2022-10-25T00:00:00"/>
    <x v="3"/>
    <n v="9"/>
    <n v="860"/>
    <n v="5.6216525614293303E-4"/>
    <n v="4.2858466888302956E-4"/>
    <n v="0.36858281523940545"/>
    <n v="0.4834621202829224"/>
    <n v="-0.11487930504351695"/>
    <n v="-4.7440752222247745E-3"/>
    <n v="-0.11962338026574174"/>
    <n v="0"/>
    <n v="0"/>
    <n v="0"/>
    <n v="-0.11962338026574174"/>
  </r>
  <r>
    <x v="9"/>
    <d v="2022-11-03T00:00:00"/>
    <d v="2022-11-23T00:00:00"/>
    <x v="3"/>
    <n v="9"/>
    <n v="589"/>
    <n v="5.6216525614293303E-4"/>
    <n v="4.2858466888302956E-4"/>
    <n v="0.25243636997210439"/>
    <n v="0.33111533586818753"/>
    <n v="-7.8678965896083142E-2"/>
    <n v="-3.2491398905702233E-3"/>
    <n v="-8.1928105786653369E-2"/>
    <n v="0"/>
    <n v="0"/>
    <n v="0"/>
    <n v="-8.1928105786653369E-2"/>
  </r>
  <r>
    <x v="10"/>
    <d v="2022-12-05T00:00:00"/>
    <d v="2022-12-23T00:00:00"/>
    <x v="3"/>
    <n v="9"/>
    <n v="730"/>
    <n v="5.6216525614293303E-4"/>
    <n v="4.2858466888302956E-4"/>
    <n v="0.31286680828461155"/>
    <n v="0.41038063698434113"/>
    <n v="-9.7513828699729577E-2"/>
    <n v="-4.0269475723535876E-3"/>
    <n v="-0.10154077627208316"/>
    <n v="0"/>
    <n v="0"/>
    <n v="0"/>
    <n v="-0.10154077627208316"/>
  </r>
  <r>
    <x v="11"/>
    <d v="2023-01-04T00:00:00"/>
    <d v="2023-01-24T00:00:00"/>
    <x v="3"/>
    <n v="9"/>
    <n v="1123"/>
    <n v="5.6216525614293303E-4"/>
    <n v="4.2858466888302956E-4"/>
    <n v="0.48130058315564217"/>
    <n v="0.63131158264851384"/>
    <n v="-0.15001099949287167"/>
    <n v="-6.194879621579559E-3"/>
    <n v="-0.15620587911445122"/>
    <n v="0"/>
    <n v="0"/>
    <n v="0"/>
    <n v="-0.15620587911445122"/>
  </r>
  <r>
    <x v="0"/>
    <d v="2022-02-03T00:00:00"/>
    <d v="2022-02-23T00:00:00"/>
    <x v="4"/>
    <n v="9"/>
    <n v="48"/>
    <n v="5.6216525614293303E-4"/>
    <n v="4.2858466888302956E-4"/>
    <n v="2.0572064106385419E-2"/>
    <n v="2.6983932294860784E-2"/>
    <n v="-6.4118681884753649E-3"/>
    <n v="-2.6478559379859202E-4"/>
    <n v="-6.6766537822739568E-3"/>
    <n v="0"/>
    <n v="0"/>
    <n v="0"/>
    <n v="-6.6766537822739568E-3"/>
  </r>
  <r>
    <x v="1"/>
    <d v="2022-03-03T00:00:00"/>
    <d v="2022-03-22T00:00:00"/>
    <x v="4"/>
    <n v="9"/>
    <n v="45"/>
    <n v="5.6216525614293303E-4"/>
    <n v="4.2858466888302956E-4"/>
    <n v="1.9286310099736331E-2"/>
    <n v="2.5297436526431988E-2"/>
    <n v="-6.0111264266956566E-3"/>
    <n v="-2.4823649418618003E-4"/>
    <n v="-6.259362920881837E-3"/>
    <n v="0"/>
    <n v="0"/>
    <n v="0"/>
    <n v="-6.259362920881837E-3"/>
  </r>
  <r>
    <x v="2"/>
    <d v="2022-04-05T00:00:00"/>
    <d v="2022-04-25T00:00:00"/>
    <x v="4"/>
    <n v="9"/>
    <n v="38"/>
    <n v="5.6216525614293303E-4"/>
    <n v="4.2858466888302956E-4"/>
    <n v="1.6286217417555125E-2"/>
    <n v="2.1362279733431456E-2"/>
    <n v="-5.0760623158763313E-3"/>
    <n v="-2.0962192842388536E-4"/>
    <n v="-5.2856842443002169E-3"/>
    <n v="0"/>
    <n v="0"/>
    <n v="0"/>
    <n v="-5.2856842443002169E-3"/>
  </r>
  <r>
    <x v="3"/>
    <d v="2022-05-04T00:00:00"/>
    <d v="2022-05-24T00:00:00"/>
    <x v="4"/>
    <n v="9"/>
    <n v="26"/>
    <n v="5.6216525614293303E-4"/>
    <n v="4.2858466888302956E-4"/>
    <n v="1.1143201390958769E-2"/>
    <n v="1.4616296659716258E-2"/>
    <n v="-3.4730952687574892E-3"/>
    <n v="-1.4342552997423735E-4"/>
    <n v="-3.6165207987317264E-3"/>
    <n v="0"/>
    <n v="0"/>
    <n v="0"/>
    <n v="-3.6165207987317264E-3"/>
  </r>
  <r>
    <x v="4"/>
    <d v="2022-06-03T00:00:00"/>
    <d v="2022-06-23T00:00:00"/>
    <x v="4"/>
    <n v="9"/>
    <n v="43"/>
    <n v="5.6216525614293303E-4"/>
    <n v="4.2858466888302956E-4"/>
    <n v="1.8429140761970272E-2"/>
    <n v="2.4173106014146122E-2"/>
    <n v="-5.7439652521758498E-3"/>
    <n v="-2.3720376111123872E-4"/>
    <n v="-5.9811690132870882E-3"/>
    <n v="0"/>
    <n v="0"/>
    <n v="0"/>
    <n v="-5.9811690132870882E-3"/>
  </r>
  <r>
    <x v="5"/>
    <d v="2022-07-05T00:00:00"/>
    <d v="2022-07-25T00:00:00"/>
    <x v="4"/>
    <n v="9"/>
    <n v="54"/>
    <n v="5.6216525614293303E-4"/>
    <n v="4.2858466888302956E-4"/>
    <n v="2.3143572119683598E-2"/>
    <n v="3.0356923831718383E-2"/>
    <n v="-7.2133517120347851E-3"/>
    <n v="-2.9788379302341607E-4"/>
    <n v="-7.5112355050582008E-3"/>
    <n v="0"/>
    <n v="0"/>
    <n v="0"/>
    <n v="-7.5112355050582008E-3"/>
  </r>
  <r>
    <x v="6"/>
    <d v="2022-08-03T00:00:00"/>
    <d v="2022-08-23T00:00:00"/>
    <x v="4"/>
    <n v="9"/>
    <n v="57"/>
    <n v="5.6216525614293303E-4"/>
    <n v="4.2858466888302956E-4"/>
    <n v="2.4429326126332685E-2"/>
    <n v="3.2043419600147185E-2"/>
    <n v="-7.6140934738145004E-3"/>
    <n v="-3.1443289263582806E-4"/>
    <n v="-7.9285263664503284E-3"/>
    <n v="0"/>
    <n v="0"/>
    <n v="0"/>
    <n v="-7.9285263664503284E-3"/>
  </r>
  <r>
    <x v="7"/>
    <d v="2022-09-05T00:00:00"/>
    <d v="2022-09-23T00:00:00"/>
    <x v="4"/>
    <n v="9"/>
    <n v="54"/>
    <n v="5.6216525614293303E-4"/>
    <n v="4.2858466888302956E-4"/>
    <n v="2.3143572119683598E-2"/>
    <n v="3.0356923831718383E-2"/>
    <n v="-7.2133517120347851E-3"/>
    <n v="-2.9788379302341607E-4"/>
    <n v="-7.5112355050582008E-3"/>
    <n v="0"/>
    <n v="0"/>
    <n v="0"/>
    <n v="-7.5112355050582008E-3"/>
  </r>
  <r>
    <x v="8"/>
    <d v="2022-10-05T00:00:00"/>
    <d v="2022-10-25T00:00:00"/>
    <x v="4"/>
    <n v="9"/>
    <n v="53"/>
    <n v="5.6216525614293303E-4"/>
    <n v="4.2858466888302956E-4"/>
    <n v="2.2714987450800566E-2"/>
    <n v="2.9794758575575449E-2"/>
    <n v="-7.0797711247748835E-3"/>
    <n v="-2.9236742648594538E-4"/>
    <n v="-7.372138551260829E-3"/>
    <n v="0"/>
    <n v="0"/>
    <n v="0"/>
    <n v="-7.372138551260829E-3"/>
  </r>
  <r>
    <x v="9"/>
    <d v="2022-11-03T00:00:00"/>
    <d v="2022-11-23T00:00:00"/>
    <x v="4"/>
    <n v="9"/>
    <n v="31"/>
    <n v="5.6216525614293303E-4"/>
    <n v="4.2858466888302956E-4"/>
    <n v="1.3286124735373916E-2"/>
    <n v="1.7427122940430924E-2"/>
    <n v="-4.1409982050570077E-3"/>
    <n v="-1.7100736266159068E-4"/>
    <n v="-4.3120055677185985E-3"/>
    <n v="0"/>
    <n v="0"/>
    <n v="0"/>
    <n v="-4.3120055677185985E-3"/>
  </r>
  <r>
    <x v="10"/>
    <d v="2022-12-05T00:00:00"/>
    <d v="2022-12-23T00:00:00"/>
    <x v="4"/>
    <n v="9"/>
    <n v="38"/>
    <n v="5.6216525614293303E-4"/>
    <n v="4.2858466888302956E-4"/>
    <n v="1.6286217417555125E-2"/>
    <n v="2.1362279733431456E-2"/>
    <n v="-5.0760623158763313E-3"/>
    <n v="-2.0962192842388536E-4"/>
    <n v="-5.2856842443002169E-3"/>
    <n v="0"/>
    <n v="0"/>
    <n v="0"/>
    <n v="-5.2856842443002169E-3"/>
  </r>
  <r>
    <x v="11"/>
    <d v="2023-01-04T00:00:00"/>
    <d v="2023-01-24T00:00:00"/>
    <x v="4"/>
    <n v="9"/>
    <n v="58"/>
    <n v="5.6216525614293303E-4"/>
    <n v="4.2858466888302956E-4"/>
    <n v="2.4857910795215713E-2"/>
    <n v="3.2605584856290115E-2"/>
    <n v="-7.747674061074402E-3"/>
    <n v="-3.1994925917329874E-4"/>
    <n v="-8.0676233202477011E-3"/>
    <n v="0"/>
    <n v="0"/>
    <n v="0"/>
    <n v="-8.0676233202477011E-3"/>
  </r>
  <r>
    <x v="0"/>
    <d v="2022-02-03T00:00:00"/>
    <d v="2022-02-23T00:00:00"/>
    <x v="5"/>
    <n v="9"/>
    <n v="50"/>
    <n v="5.6216525614293303E-4"/>
    <n v="4.2858466888302956E-4"/>
    <n v="2.1429233444151478E-2"/>
    <n v="2.810826280714665E-2"/>
    <n v="-6.6790293629951716E-3"/>
    <n v="-2.7581832687353333E-4"/>
    <n v="-6.9548476898687048E-3"/>
    <n v="0"/>
    <n v="0"/>
    <n v="0"/>
    <n v="-6.9548476898687048E-3"/>
  </r>
  <r>
    <x v="1"/>
    <d v="2022-03-03T00:00:00"/>
    <d v="2022-03-22T00:00:00"/>
    <x v="5"/>
    <n v="9"/>
    <n v="49"/>
    <n v="5.6216525614293303E-4"/>
    <n v="4.2858466888302956E-4"/>
    <n v="2.1000648775268447E-2"/>
    <n v="2.7546097551003717E-2"/>
    <n v="-6.54544877573527E-3"/>
    <n v="-2.7030196033606271E-4"/>
    <n v="-6.815750736071333E-3"/>
    <n v="0"/>
    <n v="0"/>
    <n v="0"/>
    <n v="-6.815750736071333E-3"/>
  </r>
  <r>
    <x v="2"/>
    <d v="2022-04-05T00:00:00"/>
    <d v="2022-04-25T00:00:00"/>
    <x v="5"/>
    <n v="9"/>
    <n v="45"/>
    <n v="5.6216525614293303E-4"/>
    <n v="4.2858466888302956E-4"/>
    <n v="1.9286310099736331E-2"/>
    <n v="2.5297436526431988E-2"/>
    <n v="-6.0111264266956566E-3"/>
    <n v="-2.4823649418618003E-4"/>
    <n v="-6.259362920881837E-3"/>
    <n v="0"/>
    <n v="0"/>
    <n v="0"/>
    <n v="-6.259362920881837E-3"/>
  </r>
  <r>
    <x v="3"/>
    <d v="2022-05-04T00:00:00"/>
    <d v="2022-05-24T00:00:00"/>
    <x v="5"/>
    <n v="9"/>
    <n v="34"/>
    <n v="5.6216525614293303E-4"/>
    <n v="4.2858466888302956E-4"/>
    <n v="1.4571878742023005E-2"/>
    <n v="1.9113618708859723E-2"/>
    <n v="-4.5417399668367178E-3"/>
    <n v="-1.8755646227400271E-4"/>
    <n v="-4.7292964291107209E-3"/>
    <n v="0"/>
    <n v="0"/>
    <n v="0"/>
    <n v="-4.7292964291107209E-3"/>
  </r>
  <r>
    <x v="4"/>
    <d v="2022-06-03T00:00:00"/>
    <d v="2022-06-23T00:00:00"/>
    <x v="5"/>
    <n v="9"/>
    <n v="42"/>
    <n v="5.6216525614293303E-4"/>
    <n v="4.2858466888302956E-4"/>
    <n v="1.800055609308724E-2"/>
    <n v="2.3610940758003188E-2"/>
    <n v="-5.6103846649159482E-3"/>
    <n v="-2.3168739457376803E-4"/>
    <n v="-5.8420720594897163E-3"/>
    <n v="0"/>
    <n v="0"/>
    <n v="0"/>
    <n v="-5.8420720594897163E-3"/>
  </r>
  <r>
    <x v="5"/>
    <d v="2022-07-05T00:00:00"/>
    <d v="2022-07-25T00:00:00"/>
    <x v="5"/>
    <n v="9"/>
    <n v="49"/>
    <n v="5.6216525614293303E-4"/>
    <n v="4.2858466888302956E-4"/>
    <n v="2.1000648775268447E-2"/>
    <n v="2.7546097551003717E-2"/>
    <n v="-6.54544877573527E-3"/>
    <n v="-2.7030196033606271E-4"/>
    <n v="-6.815750736071333E-3"/>
    <n v="0"/>
    <n v="0"/>
    <n v="0"/>
    <n v="-6.815750736071333E-3"/>
  </r>
  <r>
    <x v="6"/>
    <d v="2022-08-03T00:00:00"/>
    <d v="2022-08-23T00:00:00"/>
    <x v="5"/>
    <n v="9"/>
    <n v="54"/>
    <n v="5.6216525614293303E-4"/>
    <n v="4.2858466888302956E-4"/>
    <n v="2.3143572119683598E-2"/>
    <n v="3.0356923831718383E-2"/>
    <n v="-7.2133517120347851E-3"/>
    <n v="-2.9788379302341607E-4"/>
    <n v="-7.5112355050582008E-3"/>
    <n v="0"/>
    <n v="0"/>
    <n v="0"/>
    <n v="-7.5112355050582008E-3"/>
  </r>
  <r>
    <x v="7"/>
    <d v="2022-09-05T00:00:00"/>
    <d v="2022-09-23T00:00:00"/>
    <x v="5"/>
    <n v="9"/>
    <n v="47"/>
    <n v="5.6216525614293303E-4"/>
    <n v="4.2858466888302956E-4"/>
    <n v="2.0143479437502391E-2"/>
    <n v="2.6421767038717854E-2"/>
    <n v="-6.2782876012154633E-3"/>
    <n v="-2.5926922726112139E-4"/>
    <n v="-6.537556828476585E-3"/>
    <n v="0"/>
    <n v="0"/>
    <n v="0"/>
    <n v="-6.537556828476585E-3"/>
  </r>
  <r>
    <x v="8"/>
    <d v="2022-10-05T00:00:00"/>
    <d v="2022-10-25T00:00:00"/>
    <x v="5"/>
    <n v="9"/>
    <n v="47"/>
    <n v="5.6216525614293303E-4"/>
    <n v="4.2858466888302956E-4"/>
    <n v="2.0143479437502391E-2"/>
    <n v="2.6421767038717854E-2"/>
    <n v="-6.2782876012154633E-3"/>
    <n v="-2.5926922726112139E-4"/>
    <n v="-6.537556828476585E-3"/>
    <n v="0"/>
    <n v="0"/>
    <n v="0"/>
    <n v="-6.537556828476585E-3"/>
  </r>
  <r>
    <x v="9"/>
    <d v="2022-11-03T00:00:00"/>
    <d v="2022-11-23T00:00:00"/>
    <x v="5"/>
    <n v="9"/>
    <n v="39"/>
    <n v="5.6216525614293303E-4"/>
    <n v="4.2858466888302956E-4"/>
    <n v="1.6714802086438153E-2"/>
    <n v="2.1924444989574389E-2"/>
    <n v="-5.2096429031362364E-3"/>
    <n v="-2.1513829496135601E-4"/>
    <n v="-5.4247811980975922E-3"/>
    <n v="0"/>
    <n v="0"/>
    <n v="0"/>
    <n v="-5.4247811980975922E-3"/>
  </r>
  <r>
    <x v="10"/>
    <d v="2022-12-05T00:00:00"/>
    <d v="2022-12-23T00:00:00"/>
    <x v="5"/>
    <n v="9"/>
    <n v="45"/>
    <n v="5.6216525614293303E-4"/>
    <n v="4.2858466888302956E-4"/>
    <n v="1.9286310099736331E-2"/>
    <n v="2.5297436526431988E-2"/>
    <n v="-6.0111264266956566E-3"/>
    <n v="-2.4823649418618003E-4"/>
    <n v="-6.259362920881837E-3"/>
    <n v="0"/>
    <n v="0"/>
    <n v="0"/>
    <n v="-6.259362920881837E-3"/>
  </r>
  <r>
    <x v="11"/>
    <d v="2023-01-04T00:00:00"/>
    <d v="2023-01-24T00:00:00"/>
    <x v="5"/>
    <n v="9"/>
    <n v="61"/>
    <n v="5.6216525614293303E-4"/>
    <n v="4.2858466888302956E-4"/>
    <n v="2.6143664801864804E-2"/>
    <n v="3.4292080624718918E-2"/>
    <n v="-8.1484158228541138E-3"/>
    <n v="-3.3649835878571068E-4"/>
    <n v="-8.4849141816398244E-3"/>
    <n v="0"/>
    <n v="0"/>
    <n v="0"/>
    <n v="-8.4849141816398244E-3"/>
  </r>
  <r>
    <x v="0"/>
    <d v="2022-02-03T00:00:00"/>
    <d v="2022-02-23T00:00:00"/>
    <x v="6"/>
    <n v="9"/>
    <n v="92"/>
    <n v="5.6216525614293303E-4"/>
    <n v="4.2858466888302956E-4"/>
    <n v="3.9429789537238719E-2"/>
    <n v="5.1719203565149842E-2"/>
    <n v="-1.2289414027911123E-2"/>
    <n v="-5.0750572144730142E-4"/>
    <n v="-1.2796919749358425E-2"/>
    <n v="0"/>
    <n v="0"/>
    <n v="0"/>
    <n v="-1.2796919749358425E-2"/>
  </r>
  <r>
    <x v="1"/>
    <d v="2022-03-03T00:00:00"/>
    <d v="2022-03-22T00:00:00"/>
    <x v="6"/>
    <n v="9"/>
    <n v="88"/>
    <n v="5.6216525614293303E-4"/>
    <n v="4.2858466888302956E-4"/>
    <n v="3.7715450861706599E-2"/>
    <n v="4.9470542540578109E-2"/>
    <n v="-1.175509167887151E-2"/>
    <n v="-4.8544025529741874E-4"/>
    <n v="-1.2240531934168929E-2"/>
    <n v="0"/>
    <n v="0"/>
    <n v="0"/>
    <n v="-1.2240531934168929E-2"/>
  </r>
  <r>
    <x v="2"/>
    <d v="2022-04-05T00:00:00"/>
    <d v="2022-04-25T00:00:00"/>
    <x v="6"/>
    <n v="9"/>
    <n v="71"/>
    <n v="5.6216525614293303E-4"/>
    <n v="4.2858466888302956E-4"/>
    <n v="3.0429511490695099E-2"/>
    <n v="3.9913733186148243E-2"/>
    <n v="-9.484221695453144E-3"/>
    <n v="-3.9166202416041741E-4"/>
    <n v="-9.8758837196135617E-3"/>
    <n v="0"/>
    <n v="0"/>
    <n v="0"/>
    <n v="-9.8758837196135617E-3"/>
  </r>
  <r>
    <x v="3"/>
    <d v="2022-05-04T00:00:00"/>
    <d v="2022-05-24T00:00:00"/>
    <x v="6"/>
    <n v="9"/>
    <n v="76"/>
    <n v="5.6216525614293303E-4"/>
    <n v="4.2858466888302956E-4"/>
    <n v="3.2572434835110249E-2"/>
    <n v="4.2724559466862912E-2"/>
    <n v="-1.0152124631752663E-2"/>
    <n v="-4.1924385684777071E-4"/>
    <n v="-1.0571368488600434E-2"/>
    <n v="0"/>
    <n v="0"/>
    <n v="0"/>
    <n v="-1.0571368488600434E-2"/>
  </r>
  <r>
    <x v="4"/>
    <d v="2022-06-03T00:00:00"/>
    <d v="2022-06-23T00:00:00"/>
    <x v="6"/>
    <n v="9"/>
    <n v="134"/>
    <n v="5.6216525614293303E-4"/>
    <n v="4.2858466888302956E-4"/>
    <n v="5.7430345630325959E-2"/>
    <n v="7.533014432315302E-2"/>
    <n v="-1.7899798692827061E-2"/>
    <n v="-7.3919311602106946E-4"/>
    <n v="-1.8638991808848131E-2"/>
    <n v="0"/>
    <n v="0"/>
    <n v="0"/>
    <n v="-1.8638991808848131E-2"/>
  </r>
  <r>
    <x v="5"/>
    <d v="2022-07-05T00:00:00"/>
    <d v="2022-07-25T00:00:00"/>
    <x v="6"/>
    <n v="9"/>
    <n v="145"/>
    <n v="5.6216525614293303E-4"/>
    <n v="4.2858466888302956E-4"/>
    <n v="6.2144776988039288E-2"/>
    <n v="8.1513962140725288E-2"/>
    <n v="-1.9369185152686E-2"/>
    <n v="-7.9987314793324681E-4"/>
    <n v="-2.0169058300619248E-2"/>
    <n v="0"/>
    <n v="0"/>
    <n v="0"/>
    <n v="-2.0169058300619248E-2"/>
  </r>
  <r>
    <x v="6"/>
    <d v="2022-08-03T00:00:00"/>
    <d v="2022-08-23T00:00:00"/>
    <x v="6"/>
    <n v="9"/>
    <n v="161"/>
    <n v="5.6216525614293303E-4"/>
    <n v="4.2858466888302956E-4"/>
    <n v="6.9002131690167764E-2"/>
    <n v="9.0508606239012218E-2"/>
    <n v="-2.1506474548844454E-2"/>
    <n v="-8.8813501253277741E-4"/>
    <n v="-2.2394609561377232E-2"/>
    <n v="0"/>
    <n v="0"/>
    <n v="0"/>
    <n v="-2.2394609561377232E-2"/>
  </r>
  <r>
    <x v="7"/>
    <d v="2022-09-05T00:00:00"/>
    <d v="2022-09-23T00:00:00"/>
    <x v="6"/>
    <n v="9"/>
    <n v="154"/>
    <n v="5.6216525614293303E-4"/>
    <n v="4.2858466888302956E-4"/>
    <n v="6.6002039007986554E-2"/>
    <n v="8.6573449446011683E-2"/>
    <n v="-2.0571410438025128E-2"/>
    <n v="-8.4952044677048279E-4"/>
    <n v="-2.142093088479561E-2"/>
    <n v="0"/>
    <n v="0"/>
    <n v="0"/>
    <n v="-2.142093088479561E-2"/>
  </r>
  <r>
    <x v="8"/>
    <d v="2022-10-05T00:00:00"/>
    <d v="2022-10-25T00:00:00"/>
    <x v="6"/>
    <n v="9"/>
    <n v="132"/>
    <n v="5.6216525614293303E-4"/>
    <n v="4.2858466888302956E-4"/>
    <n v="5.6573176292559903E-2"/>
    <n v="7.4205813810867161E-2"/>
    <n v="-1.7632637518307258E-2"/>
    <n v="-7.2816038294612809E-4"/>
    <n v="-1.8360797901253386E-2"/>
    <n v="0"/>
    <n v="0"/>
    <n v="0"/>
    <n v="-1.8360797901253386E-2"/>
  </r>
  <r>
    <x v="9"/>
    <d v="2022-11-03T00:00:00"/>
    <d v="2022-11-23T00:00:00"/>
    <x v="6"/>
    <n v="9"/>
    <n v="91"/>
    <n v="5.6216525614293303E-4"/>
    <n v="4.2858466888302956E-4"/>
    <n v="3.9001204868355691E-2"/>
    <n v="5.1157038309006905E-2"/>
    <n v="-1.2155833440651215E-2"/>
    <n v="-5.0198935490983069E-4"/>
    <n v="-1.2657822795561045E-2"/>
    <n v="0"/>
    <n v="0"/>
    <n v="0"/>
    <n v="-1.2657822795561045E-2"/>
  </r>
  <r>
    <x v="10"/>
    <d v="2022-12-05T00:00:00"/>
    <d v="2022-12-23T00:00:00"/>
    <x v="6"/>
    <n v="9"/>
    <n v="67"/>
    <n v="5.6216525614293303E-4"/>
    <n v="4.2858466888302956E-4"/>
    <n v="2.8715172815162979E-2"/>
    <n v="3.766507216157651E-2"/>
    <n v="-8.9498993464135305E-3"/>
    <n v="-3.6959655801053473E-4"/>
    <n v="-9.3194959044240657E-3"/>
    <n v="0"/>
    <n v="0"/>
    <n v="0"/>
    <n v="-9.3194959044240657E-3"/>
  </r>
  <r>
    <x v="11"/>
    <d v="2023-01-04T00:00:00"/>
    <d v="2023-01-24T00:00:00"/>
    <x v="6"/>
    <n v="9"/>
    <n v="96"/>
    <n v="5.6216525614293303E-4"/>
    <n v="4.2858466888302956E-4"/>
    <n v="4.1144128212770838E-2"/>
    <n v="5.3967864589721568E-2"/>
    <n v="-1.282373637695073E-2"/>
    <n v="-5.2957118759718405E-4"/>
    <n v="-1.3353307564547914E-2"/>
    <n v="0"/>
    <n v="0"/>
    <n v="0"/>
    <n v="-1.3353307564547914E-2"/>
  </r>
  <r>
    <x v="0"/>
    <d v="2022-02-03T00:00:00"/>
    <d v="2022-02-23T00:00:00"/>
    <x v="7"/>
    <n v="9"/>
    <n v="42"/>
    <n v="5.6216525614293303E-4"/>
    <n v="4.2858466888302956E-4"/>
    <n v="1.800055609308724E-2"/>
    <n v="2.3610940758003188E-2"/>
    <n v="-5.6103846649159482E-3"/>
    <n v="-2.3168739457376803E-4"/>
    <n v="-5.8420720594897163E-3"/>
    <n v="0"/>
    <n v="0"/>
    <n v="0"/>
    <n v="-5.8420720594897163E-3"/>
  </r>
  <r>
    <x v="1"/>
    <d v="2022-03-03T00:00:00"/>
    <d v="2022-03-22T00:00:00"/>
    <x v="7"/>
    <n v="9"/>
    <n v="43"/>
    <n v="5.6216525614293303E-4"/>
    <n v="4.2858466888302956E-4"/>
    <n v="1.8429140761970272E-2"/>
    <n v="2.4173106014146122E-2"/>
    <n v="-5.7439652521758498E-3"/>
    <n v="-2.3720376111123872E-4"/>
    <n v="-5.9811690132870882E-3"/>
    <n v="0"/>
    <n v="0"/>
    <n v="0"/>
    <n v="-5.9811690132870882E-3"/>
  </r>
  <r>
    <x v="2"/>
    <d v="2022-04-05T00:00:00"/>
    <d v="2022-04-25T00:00:00"/>
    <x v="7"/>
    <n v="9"/>
    <n v="42"/>
    <n v="5.6216525614293303E-4"/>
    <n v="4.2858466888302956E-4"/>
    <n v="1.800055609308724E-2"/>
    <n v="2.3610940758003188E-2"/>
    <n v="-5.6103846649159482E-3"/>
    <n v="-2.3168739457376803E-4"/>
    <n v="-5.8420720594897163E-3"/>
    <n v="0"/>
    <n v="0"/>
    <n v="0"/>
    <n v="-5.8420720594897163E-3"/>
  </r>
  <r>
    <x v="3"/>
    <d v="2022-05-04T00:00:00"/>
    <d v="2022-05-24T00:00:00"/>
    <x v="7"/>
    <n v="9"/>
    <n v="52"/>
    <n v="5.6216525614293303E-4"/>
    <n v="4.2858466888302956E-4"/>
    <n v="2.2286402781917538E-2"/>
    <n v="2.9232593319432516E-2"/>
    <n v="-6.9461905375149784E-3"/>
    <n v="-2.868510599484747E-4"/>
    <n v="-7.2330415974634528E-3"/>
    <n v="0"/>
    <n v="0"/>
    <n v="0"/>
    <n v="-7.2330415974634528E-3"/>
  </r>
  <r>
    <x v="4"/>
    <d v="2022-06-03T00:00:00"/>
    <d v="2022-06-23T00:00:00"/>
    <x v="7"/>
    <n v="9"/>
    <n v="52"/>
    <n v="5.6216525614293303E-4"/>
    <n v="4.2858466888302956E-4"/>
    <n v="2.2286402781917538E-2"/>
    <n v="2.9232593319432516E-2"/>
    <n v="-6.9461905375149784E-3"/>
    <n v="-2.868510599484747E-4"/>
    <n v="-7.2330415974634528E-3"/>
    <n v="0"/>
    <n v="0"/>
    <n v="0"/>
    <n v="-7.2330415974634528E-3"/>
  </r>
  <r>
    <x v="5"/>
    <d v="2022-07-05T00:00:00"/>
    <d v="2022-07-25T00:00:00"/>
    <x v="7"/>
    <n v="9"/>
    <n v="56"/>
    <n v="5.6216525614293303E-4"/>
    <n v="4.2858466888302956E-4"/>
    <n v="2.4000741457449654E-2"/>
    <n v="3.1481254344004249E-2"/>
    <n v="-7.4805128865545953E-3"/>
    <n v="-3.0891652609835738E-4"/>
    <n v="-7.7894294126529522E-3"/>
    <n v="0"/>
    <n v="0"/>
    <n v="0"/>
    <n v="-7.7894294126529522E-3"/>
  </r>
  <r>
    <x v="6"/>
    <d v="2022-08-03T00:00:00"/>
    <d v="2022-08-23T00:00:00"/>
    <x v="7"/>
    <n v="9"/>
    <n v="58"/>
    <n v="5.6216525614293303E-4"/>
    <n v="4.2858466888302956E-4"/>
    <n v="2.4857910795215713E-2"/>
    <n v="3.2605584856290115E-2"/>
    <n v="-7.747674061074402E-3"/>
    <n v="-3.1994925917329874E-4"/>
    <n v="-8.0676233202477011E-3"/>
    <n v="0"/>
    <n v="0"/>
    <n v="0"/>
    <n v="-8.0676233202477011E-3"/>
  </r>
  <r>
    <x v="7"/>
    <d v="2022-09-05T00:00:00"/>
    <d v="2022-09-23T00:00:00"/>
    <x v="7"/>
    <n v="9"/>
    <n v="60"/>
    <n v="5.6216525614293303E-4"/>
    <n v="4.2858466888302956E-4"/>
    <n v="2.5715080132981773E-2"/>
    <n v="3.3729915368575981E-2"/>
    <n v="-8.0148352355942087E-3"/>
    <n v="-3.3098199224824E-4"/>
    <n v="-8.3458172278424482E-3"/>
    <n v="0"/>
    <n v="0"/>
    <n v="0"/>
    <n v="-8.3458172278424482E-3"/>
  </r>
  <r>
    <x v="8"/>
    <d v="2022-10-05T00:00:00"/>
    <d v="2022-10-25T00:00:00"/>
    <x v="7"/>
    <n v="9"/>
    <n v="58"/>
    <n v="5.6216525614293303E-4"/>
    <n v="4.2858466888302956E-4"/>
    <n v="2.4857910795215713E-2"/>
    <n v="3.2605584856290115E-2"/>
    <n v="-7.747674061074402E-3"/>
    <n v="-3.1994925917329874E-4"/>
    <n v="-8.0676233202477011E-3"/>
    <n v="0"/>
    <n v="0"/>
    <n v="0"/>
    <n v="-8.0676233202477011E-3"/>
  </r>
  <r>
    <x v="9"/>
    <d v="2022-11-03T00:00:00"/>
    <d v="2022-11-23T00:00:00"/>
    <x v="7"/>
    <n v="9"/>
    <n v="56"/>
    <n v="5.6216525614293303E-4"/>
    <n v="4.2858466888302956E-4"/>
    <n v="2.4000741457449654E-2"/>
    <n v="3.1481254344004249E-2"/>
    <n v="-7.4805128865545953E-3"/>
    <n v="-3.0891652609835738E-4"/>
    <n v="-7.7894294126529522E-3"/>
    <n v="0"/>
    <n v="0"/>
    <n v="0"/>
    <n v="-7.7894294126529522E-3"/>
  </r>
  <r>
    <x v="10"/>
    <d v="2022-12-05T00:00:00"/>
    <d v="2022-12-23T00:00:00"/>
    <x v="7"/>
    <n v="9"/>
    <n v="59"/>
    <n v="5.6216525614293303E-4"/>
    <n v="4.2858466888302956E-4"/>
    <n v="2.5286495464098745E-2"/>
    <n v="3.3167750112433052E-2"/>
    <n v="-7.8812546483343071E-3"/>
    <n v="-3.2546562571076943E-4"/>
    <n v="-8.2067202740450772E-3"/>
    <n v="0"/>
    <n v="0"/>
    <n v="0"/>
    <n v="-8.2067202740450772E-3"/>
  </r>
  <r>
    <x v="11"/>
    <d v="2023-01-04T00:00:00"/>
    <d v="2023-01-24T00:00:00"/>
    <x v="7"/>
    <n v="9"/>
    <n v="58"/>
    <n v="5.6216525614293303E-4"/>
    <n v="4.2858466888302956E-4"/>
    <n v="2.4857910795215713E-2"/>
    <n v="3.2605584856290115E-2"/>
    <n v="-7.747674061074402E-3"/>
    <n v="-3.1994925917329874E-4"/>
    <n v="-8.0676233202477011E-3"/>
    <n v="0"/>
    <n v="0"/>
    <n v="0"/>
    <n v="-8.0676233202477011E-3"/>
  </r>
  <r>
    <x v="0"/>
    <d v="2022-02-03T00:00:00"/>
    <d v="2022-02-23T00:00:00"/>
    <x v="8"/>
    <n v="9"/>
    <n v="1045"/>
    <n v="5.6216525614293303E-4"/>
    <n v="4.2858466888302956E-4"/>
    <n v="0.4478709789827659"/>
    <n v="0.58746269266936502"/>
    <n v="-0.13959171368659912"/>
    <n v="-5.7646030316568482E-3"/>
    <n v="-0.14535631671825597"/>
    <n v="0"/>
    <n v="0"/>
    <n v="0"/>
    <n v="-0.14535631671825597"/>
  </r>
  <r>
    <x v="1"/>
    <d v="2022-03-03T00:00:00"/>
    <d v="2022-03-22T00:00:00"/>
    <x v="8"/>
    <n v="9"/>
    <n v="1114"/>
    <n v="5.6216525614293303E-4"/>
    <n v="4.2858466888302956E-4"/>
    <n v="0.47744332113569493"/>
    <n v="0.62625209534322734"/>
    <n v="-0.14880877420753241"/>
    <n v="-6.1452323227423238E-3"/>
    <n v="-0.15495400653027475"/>
    <n v="0"/>
    <n v="0"/>
    <n v="0"/>
    <n v="-0.15495400653027475"/>
  </r>
  <r>
    <x v="2"/>
    <d v="2022-04-05T00:00:00"/>
    <d v="2022-04-25T00:00:00"/>
    <x v="8"/>
    <n v="9"/>
    <n v="977"/>
    <n v="5.6216525614293303E-4"/>
    <n v="4.2858466888302956E-4"/>
    <n v="0.41872722149871988"/>
    <n v="0.54923545525164552"/>
    <n v="-0.13050823375292564"/>
    <n v="-5.389490107108842E-3"/>
    <n v="-0.13589772386003449"/>
    <n v="0"/>
    <n v="0"/>
    <n v="0"/>
    <n v="-0.13589772386003449"/>
  </r>
  <r>
    <x v="3"/>
    <d v="2022-05-04T00:00:00"/>
    <d v="2022-05-24T00:00:00"/>
    <x v="8"/>
    <n v="9"/>
    <n v="539"/>
    <n v="5.6216525614293303E-4"/>
    <n v="4.2858466888302956E-4"/>
    <n v="0.23100713652795293"/>
    <n v="0.30300707306104091"/>
    <n v="-7.1999936533087977E-2"/>
    <n v="-2.9733215636966897E-3"/>
    <n v="-7.4973258096784665E-2"/>
    <n v="0"/>
    <n v="0"/>
    <n v="0"/>
    <n v="-7.4973258096784665E-2"/>
  </r>
  <r>
    <x v="4"/>
    <d v="2022-06-03T00:00:00"/>
    <d v="2022-06-23T00:00:00"/>
    <x v="8"/>
    <n v="9"/>
    <n v="754"/>
    <n v="5.6216525614293303E-4"/>
    <n v="4.2858466888302956E-4"/>
    <n v="0.32315284033780428"/>
    <n v="0.4238726031317715"/>
    <n v="-0.10071976279396722"/>
    <n v="-4.1593403692528836E-3"/>
    <n v="-0.10487910316322011"/>
    <n v="0"/>
    <n v="0"/>
    <n v="0"/>
    <n v="-0.10487910316322011"/>
  </r>
  <r>
    <x v="5"/>
    <d v="2022-07-05T00:00:00"/>
    <d v="2022-07-25T00:00:00"/>
    <x v="8"/>
    <n v="9"/>
    <n v="946"/>
    <n v="5.6216525614293303E-4"/>
    <n v="4.2858466888302956E-4"/>
    <n v="0.40544109676334594"/>
    <n v="0.5318083323112146"/>
    <n v="-0.12636723554786866"/>
    <n v="-5.2184827444472512E-3"/>
    <n v="-0.13158571829231591"/>
    <n v="0"/>
    <n v="0"/>
    <n v="0"/>
    <n v="-0.13158571829231591"/>
  </r>
  <r>
    <x v="6"/>
    <d v="2022-08-03T00:00:00"/>
    <d v="2022-08-23T00:00:00"/>
    <x v="8"/>
    <n v="9"/>
    <n v="979"/>
    <n v="5.6216525614293303E-4"/>
    <n v="4.2858466888302956E-4"/>
    <n v="0.41958439083648597"/>
    <n v="0.55035978576393141"/>
    <n v="-0.13077539492744544"/>
    <n v="-5.4005228401837833E-3"/>
    <n v="-0.13617591776762922"/>
    <n v="0"/>
    <n v="0"/>
    <n v="0"/>
    <n v="-0.13617591776762922"/>
  </r>
  <r>
    <x v="7"/>
    <d v="2022-09-05T00:00:00"/>
    <d v="2022-09-23T00:00:00"/>
    <x v="8"/>
    <n v="9"/>
    <n v="973"/>
    <n v="5.6216525614293303E-4"/>
    <n v="4.2858466888302956E-4"/>
    <n v="0.41701288282318777"/>
    <n v="0.54698679422707386"/>
    <n v="-0.12997391140388609"/>
    <n v="-5.3674246409589595E-3"/>
    <n v="-0.13534133604484505"/>
    <n v="0"/>
    <n v="0"/>
    <n v="0"/>
    <n v="-0.13534133604484505"/>
  </r>
  <r>
    <x v="8"/>
    <d v="2022-10-05T00:00:00"/>
    <d v="2022-10-25T00:00:00"/>
    <x v="8"/>
    <n v="9"/>
    <n v="847"/>
    <n v="5.6216525614293303E-4"/>
    <n v="4.2858466888302956E-4"/>
    <n v="0.36301121454392604"/>
    <n v="0.4761539719530643"/>
    <n v="-0.11314275740913826"/>
    <n v="-4.6723624572376551E-3"/>
    <n v="-0.11781511986637591"/>
    <n v="0"/>
    <n v="0"/>
    <n v="0"/>
    <n v="-0.11781511986637591"/>
  </r>
  <r>
    <x v="9"/>
    <d v="2022-11-03T00:00:00"/>
    <d v="2022-11-23T00:00:00"/>
    <x v="8"/>
    <n v="9"/>
    <n v="609"/>
    <n v="5.6216525614293303E-4"/>
    <n v="4.2858466888302956E-4"/>
    <n v="0.26100806334976501"/>
    <n v="0.34235864099104624"/>
    <n v="-8.135057764128123E-2"/>
    <n v="-3.3594672213196363E-3"/>
    <n v="-8.4710044862600864E-2"/>
    <n v="0"/>
    <n v="0"/>
    <n v="0"/>
    <n v="-8.4710044862600864E-2"/>
  </r>
  <r>
    <x v="10"/>
    <d v="2022-12-05T00:00:00"/>
    <d v="2022-12-23T00:00:00"/>
    <x v="8"/>
    <n v="9"/>
    <n v="807"/>
    <n v="5.6216525614293303E-4"/>
    <n v="4.2858466888302956E-4"/>
    <n v="0.34586782778860486"/>
    <n v="0.45366736170734695"/>
    <n v="-0.10779953391874209"/>
    <n v="-4.4517077957388282E-3"/>
    <n v="-0.11225124171448092"/>
    <n v="0"/>
    <n v="0"/>
    <n v="0"/>
    <n v="-0.11225124171448092"/>
  </r>
  <r>
    <x v="11"/>
    <d v="2023-01-04T00:00:00"/>
    <d v="2023-01-24T00:00:00"/>
    <x v="8"/>
    <n v="9"/>
    <n v="1434"/>
    <n v="5.6216525614293303E-4"/>
    <n v="4.2858466888302956E-4"/>
    <n v="0.6145904151782644"/>
    <n v="0.80614497730896595"/>
    <n v="-0.19155456213070154"/>
    <n v="-7.9104696147329363E-3"/>
    <n v="-0.19946503174543448"/>
    <n v="0"/>
    <n v="0"/>
    <n v="0"/>
    <n v="-0.19946503174543448"/>
  </r>
  <r>
    <x v="0"/>
    <d v="2022-02-03T00:00:00"/>
    <d v="2022-02-23T00:00:00"/>
    <x v="9"/>
    <n v="9"/>
    <n v="8"/>
    <n v="5.6216525614293303E-4"/>
    <n v="4.2858466888302956E-4"/>
    <n v="3.4286773510642365E-3"/>
    <n v="4.4973220491434642E-3"/>
    <n v="-1.0686446980792278E-3"/>
    <n v="-4.4130932299765342E-5"/>
    <n v="-1.112775630378993E-3"/>
    <n v="0"/>
    <n v="0"/>
    <n v="0"/>
    <n v="-1.112775630378993E-3"/>
  </r>
  <r>
    <x v="1"/>
    <d v="2022-03-03T00:00:00"/>
    <d v="2022-03-22T00:00:00"/>
    <x v="9"/>
    <n v="9"/>
    <n v="7"/>
    <n v="5.6216525614293303E-4"/>
    <n v="4.2858466888302956E-4"/>
    <n v="3.0000926821812067E-3"/>
    <n v="3.9351567930005311E-3"/>
    <n v="-9.3506411081932441E-4"/>
    <n v="-3.8614565762294672E-5"/>
    <n v="-9.7367867658161903E-4"/>
    <n v="0"/>
    <n v="0"/>
    <n v="0"/>
    <n v="-9.7367867658161903E-4"/>
  </r>
  <r>
    <x v="2"/>
    <d v="2022-04-05T00:00:00"/>
    <d v="2022-04-25T00:00:00"/>
    <x v="9"/>
    <n v="9"/>
    <n v="5"/>
    <n v="5.6216525614293303E-4"/>
    <n v="4.2858466888302956E-4"/>
    <n v="2.142923344415148E-3"/>
    <n v="2.8108262807146653E-3"/>
    <n v="-6.6790293629951725E-4"/>
    <n v="-2.7581832687353337E-5"/>
    <n v="-6.9548476898687061E-4"/>
    <n v="0"/>
    <n v="0"/>
    <n v="0"/>
    <n v="-6.9548476898687061E-4"/>
  </r>
  <r>
    <x v="3"/>
    <d v="2022-05-04T00:00:00"/>
    <d v="2022-05-24T00:00:00"/>
    <x v="9"/>
    <n v="9"/>
    <n v="7"/>
    <n v="5.6216525614293303E-4"/>
    <n v="4.2858466888302956E-4"/>
    <n v="3.0000926821812067E-3"/>
    <n v="3.9351567930005311E-3"/>
    <n v="-9.3506411081932441E-4"/>
    <n v="-3.8614565762294672E-5"/>
    <n v="-9.7367867658161903E-4"/>
    <n v="0"/>
    <n v="0"/>
    <n v="0"/>
    <n v="-9.7367867658161903E-4"/>
  </r>
  <r>
    <x v="4"/>
    <d v="2022-06-03T00:00:00"/>
    <d v="2022-06-23T00:00:00"/>
    <x v="9"/>
    <n v="9"/>
    <n v="10"/>
    <n v="5.6216525614293303E-4"/>
    <n v="4.2858466888302956E-4"/>
    <n v="4.285846688830296E-3"/>
    <n v="5.6216525614293305E-3"/>
    <n v="-1.3358058725990345E-3"/>
    <n v="-5.5163665374706674E-5"/>
    <n v="-1.3909695379737412E-3"/>
    <n v="0"/>
    <n v="0"/>
    <n v="0"/>
    <n v="-1.3909695379737412E-3"/>
  </r>
  <r>
    <x v="5"/>
    <d v="2022-07-05T00:00:00"/>
    <d v="2022-07-25T00:00:00"/>
    <x v="9"/>
    <n v="9"/>
    <n v="14"/>
    <n v="5.6216525614293303E-4"/>
    <n v="4.2858466888302956E-4"/>
    <n v="6.0001853643624134E-3"/>
    <n v="7.8703135860010622E-3"/>
    <n v="-1.8701282216386488E-3"/>
    <n v="-7.7229131524589345E-5"/>
    <n v="-1.9473573531632381E-3"/>
    <n v="0"/>
    <n v="0"/>
    <n v="0"/>
    <n v="-1.9473573531632381E-3"/>
  </r>
  <r>
    <x v="6"/>
    <d v="2022-08-03T00:00:00"/>
    <d v="2022-08-23T00:00:00"/>
    <x v="9"/>
    <n v="9"/>
    <n v="18"/>
    <n v="5.6216525614293303E-4"/>
    <n v="4.2858466888302956E-4"/>
    <n v="7.7145240398945325E-3"/>
    <n v="1.0118974610572795E-2"/>
    <n v="-2.4044505706782623E-3"/>
    <n v="-9.9294597674472022E-5"/>
    <n v="-2.5037451683527345E-3"/>
    <n v="0"/>
    <n v="0"/>
    <n v="0"/>
    <n v="-2.5037451683527345E-3"/>
  </r>
  <r>
    <x v="7"/>
    <d v="2022-09-05T00:00:00"/>
    <d v="2022-09-23T00:00:00"/>
    <x v="9"/>
    <n v="9"/>
    <n v="16"/>
    <n v="5.6216525614293303E-4"/>
    <n v="4.2858466888302956E-4"/>
    <n v="6.857354702128473E-3"/>
    <n v="8.9946440982869285E-3"/>
    <n v="-2.1372893961584555E-3"/>
    <n v="-8.8261864599530683E-5"/>
    <n v="-2.225551260757986E-3"/>
    <n v="0"/>
    <n v="0"/>
    <n v="0"/>
    <n v="-2.225551260757986E-3"/>
  </r>
  <r>
    <x v="8"/>
    <d v="2022-10-05T00:00:00"/>
    <d v="2022-10-25T00:00:00"/>
    <x v="9"/>
    <n v="9"/>
    <n v="9"/>
    <n v="5.6216525614293303E-4"/>
    <n v="4.2858466888302956E-4"/>
    <n v="3.8572620199472663E-3"/>
    <n v="5.0594873052863974E-3"/>
    <n v="-1.2022252853391311E-3"/>
    <n v="-4.9647298837236011E-5"/>
    <n v="-1.2518725841763672E-3"/>
    <n v="0"/>
    <n v="0"/>
    <n v="0"/>
    <n v="-1.2518725841763672E-3"/>
  </r>
  <r>
    <x v="9"/>
    <d v="2022-11-03T00:00:00"/>
    <d v="2022-11-23T00:00:00"/>
    <x v="9"/>
    <n v="9"/>
    <n v="6"/>
    <n v="5.6216525614293303E-4"/>
    <n v="4.2858466888302956E-4"/>
    <n v="2.5715080132981774E-3"/>
    <n v="3.372991536857598E-3"/>
    <n v="-8.0148352355942061E-4"/>
    <n v="-3.3098199224824003E-5"/>
    <n v="-8.345817227842446E-4"/>
    <n v="0"/>
    <n v="0"/>
    <n v="0"/>
    <n v="-8.345817227842446E-4"/>
  </r>
  <r>
    <x v="10"/>
    <d v="2022-12-05T00:00:00"/>
    <d v="2022-12-23T00:00:00"/>
    <x v="9"/>
    <n v="9"/>
    <n v="6"/>
    <n v="5.6216525614293303E-4"/>
    <n v="4.2858466888302956E-4"/>
    <n v="2.5715080132981774E-3"/>
    <n v="3.372991536857598E-3"/>
    <n v="-8.0148352355942061E-4"/>
    <n v="-3.3098199224824003E-5"/>
    <n v="-8.345817227842446E-4"/>
    <n v="0"/>
    <n v="0"/>
    <n v="0"/>
    <n v="-8.345817227842446E-4"/>
  </r>
  <r>
    <x v="11"/>
    <d v="2023-01-04T00:00:00"/>
    <d v="2023-01-24T00:00:00"/>
    <x v="9"/>
    <n v="9"/>
    <n v="8"/>
    <n v="5.6216525614293303E-4"/>
    <n v="4.2858466888302956E-4"/>
    <n v="3.4286773510642365E-3"/>
    <n v="4.4973220491434642E-3"/>
    <n v="-1.0686446980792278E-3"/>
    <n v="-4.4130932299765342E-5"/>
    <n v="-1.112775630378993E-3"/>
    <n v="0"/>
    <n v="0"/>
    <n v="0"/>
    <n v="-1.112775630378993E-3"/>
  </r>
  <r>
    <x v="0"/>
    <d v="2022-02-03T00:00:00"/>
    <d v="2022-02-23T00:00:00"/>
    <x v="10"/>
    <n v="9"/>
    <n v="3"/>
    <n v="5.6216525614293303E-4"/>
    <n v="4.2858466888302956E-4"/>
    <n v="1.2857540066490887E-3"/>
    <n v="1.686495768428799E-3"/>
    <n v="-4.0074176177971031E-4"/>
    <n v="-1.6549099612412001E-5"/>
    <n v="-4.172908613921223E-4"/>
    <n v="0"/>
    <n v="0"/>
    <n v="0"/>
    <n v="-4.172908613921223E-4"/>
  </r>
  <r>
    <x v="1"/>
    <d v="2022-03-03T00:00:00"/>
    <d v="2022-03-22T00:00:00"/>
    <x v="10"/>
    <n v="9"/>
    <n v="2"/>
    <n v="5.6216525614293303E-4"/>
    <n v="4.2858466888302956E-4"/>
    <n v="8.5716933776605912E-4"/>
    <n v="1.1243305122858661E-3"/>
    <n v="-2.6716117451980694E-4"/>
    <n v="-1.1032733074941335E-5"/>
    <n v="-2.7819390759474826E-4"/>
    <n v="0"/>
    <n v="0"/>
    <n v="0"/>
    <n v="-2.7819390759474826E-4"/>
  </r>
  <r>
    <x v="2"/>
    <d v="2022-04-05T00:00:00"/>
    <d v="2022-04-25T00:00:00"/>
    <x v="10"/>
    <n v="9"/>
    <n v="3"/>
    <n v="5.6216525614293303E-4"/>
    <n v="4.2858466888302956E-4"/>
    <n v="1.2857540066490887E-3"/>
    <n v="1.686495768428799E-3"/>
    <n v="-4.0074176177971031E-4"/>
    <n v="-1.6549099612412001E-5"/>
    <n v="-4.172908613921223E-4"/>
    <n v="0"/>
    <n v="0"/>
    <n v="0"/>
    <n v="-4.172908613921223E-4"/>
  </r>
  <r>
    <x v="3"/>
    <d v="2022-05-04T00:00:00"/>
    <d v="2022-05-24T00:00:00"/>
    <x v="10"/>
    <n v="9"/>
    <n v="2"/>
    <n v="5.6216525614293303E-4"/>
    <n v="4.2858466888302956E-4"/>
    <n v="8.5716933776605912E-4"/>
    <n v="1.1243305122858661E-3"/>
    <n v="-2.6716117451980694E-4"/>
    <n v="-1.1032733074941335E-5"/>
    <n v="-2.7819390759474826E-4"/>
    <n v="0"/>
    <n v="0"/>
    <n v="0"/>
    <n v="-2.7819390759474826E-4"/>
  </r>
  <r>
    <x v="4"/>
    <d v="2022-06-03T00:00:00"/>
    <d v="2022-06-23T00:00:00"/>
    <x v="10"/>
    <n v="9"/>
    <n v="3"/>
    <n v="5.6216525614293303E-4"/>
    <n v="4.2858466888302956E-4"/>
    <n v="1.2857540066490887E-3"/>
    <n v="1.686495768428799E-3"/>
    <n v="-4.0074176177971031E-4"/>
    <n v="-1.6549099612412001E-5"/>
    <n v="-4.172908613921223E-4"/>
    <n v="0"/>
    <n v="0"/>
    <n v="0"/>
    <n v="-4.172908613921223E-4"/>
  </r>
  <r>
    <x v="5"/>
    <d v="2022-07-05T00:00:00"/>
    <d v="2022-07-25T00:00:00"/>
    <x v="10"/>
    <n v="9"/>
    <n v="5"/>
    <n v="5.6216525614293303E-4"/>
    <n v="4.2858466888302956E-4"/>
    <n v="2.142923344415148E-3"/>
    <n v="2.8108262807146653E-3"/>
    <n v="-6.6790293629951725E-4"/>
    <n v="-2.7581832687353337E-5"/>
    <n v="-6.9548476898687061E-4"/>
    <n v="0"/>
    <n v="0"/>
    <n v="0"/>
    <n v="-6.9548476898687061E-4"/>
  </r>
  <r>
    <x v="6"/>
    <d v="2022-08-03T00:00:00"/>
    <d v="2022-08-23T00:00:00"/>
    <x v="10"/>
    <n v="9"/>
    <n v="6"/>
    <n v="5.6216525614293303E-4"/>
    <n v="4.2858466888302956E-4"/>
    <n v="2.5715080132981774E-3"/>
    <n v="3.372991536857598E-3"/>
    <n v="-8.0148352355942061E-4"/>
    <n v="-3.3098199224824003E-5"/>
    <n v="-8.345817227842446E-4"/>
    <n v="0"/>
    <n v="0"/>
    <n v="0"/>
    <n v="-8.345817227842446E-4"/>
  </r>
  <r>
    <x v="7"/>
    <d v="2022-09-05T00:00:00"/>
    <d v="2022-09-23T00:00:00"/>
    <x v="10"/>
    <n v="9"/>
    <n v="6"/>
    <n v="5.6216525614293303E-4"/>
    <n v="4.2858466888302956E-4"/>
    <n v="2.5715080132981774E-3"/>
    <n v="3.372991536857598E-3"/>
    <n v="-8.0148352355942061E-4"/>
    <n v="-3.3098199224824003E-5"/>
    <n v="-8.345817227842446E-4"/>
    <n v="0"/>
    <n v="0"/>
    <n v="0"/>
    <n v="-8.345817227842446E-4"/>
  </r>
  <r>
    <x v="8"/>
    <d v="2022-10-05T00:00:00"/>
    <d v="2022-10-25T00:00:00"/>
    <x v="10"/>
    <n v="9"/>
    <n v="3"/>
    <n v="5.6216525614293303E-4"/>
    <n v="4.2858466888302956E-4"/>
    <n v="1.2857540066490887E-3"/>
    <n v="1.686495768428799E-3"/>
    <n v="-4.0074176177971031E-4"/>
    <n v="-1.6549099612412001E-5"/>
    <n v="-4.172908613921223E-4"/>
    <n v="0"/>
    <n v="0"/>
    <n v="0"/>
    <n v="-4.172908613921223E-4"/>
  </r>
  <r>
    <x v="9"/>
    <d v="2022-11-03T00:00:00"/>
    <d v="2022-11-23T00:00:00"/>
    <x v="10"/>
    <n v="9"/>
    <n v="2"/>
    <n v="5.6216525614293303E-4"/>
    <n v="4.2858466888302956E-4"/>
    <n v="8.5716933776605912E-4"/>
    <n v="1.1243305122858661E-3"/>
    <n v="-2.6716117451980694E-4"/>
    <n v="-1.1032733074941335E-5"/>
    <n v="-2.7819390759474826E-4"/>
    <n v="0"/>
    <n v="0"/>
    <n v="0"/>
    <n v="-2.7819390759474826E-4"/>
  </r>
  <r>
    <x v="10"/>
    <d v="2022-12-05T00:00:00"/>
    <d v="2022-12-23T00:00:00"/>
    <x v="10"/>
    <n v="9"/>
    <n v="1"/>
    <n v="5.6216525614293303E-4"/>
    <n v="4.2858466888302956E-4"/>
    <n v="4.2858466888302956E-4"/>
    <n v="5.6216525614293303E-4"/>
    <n v="-1.3358058725990347E-4"/>
    <n v="-5.5163665374706677E-6"/>
    <n v="-1.3909695379737413E-4"/>
    <n v="0"/>
    <n v="0"/>
    <n v="0"/>
    <n v="-1.3909695379737413E-4"/>
  </r>
  <r>
    <x v="11"/>
    <d v="2023-01-04T00:00:00"/>
    <d v="2023-01-24T00:00:00"/>
    <x v="10"/>
    <n v="9"/>
    <n v="4"/>
    <n v="5.6216525614293303E-4"/>
    <n v="4.2858466888302956E-4"/>
    <n v="1.7143386755321182E-3"/>
    <n v="2.2486610245717321E-3"/>
    <n v="-5.3432234903961389E-4"/>
    <n v="-2.2065466149882671E-5"/>
    <n v="-5.5638781518949651E-4"/>
    <n v="0"/>
    <n v="0"/>
    <n v="0"/>
    <n v="-5.5638781518949651E-4"/>
  </r>
  <r>
    <x v="0"/>
    <d v="2022-02-03T00:00:00"/>
    <d v="2022-02-23T00:00:00"/>
    <x v="11"/>
    <n v="9"/>
    <n v="121"/>
    <n v="5.6216525614293303E-4"/>
    <n v="4.2858466888302956E-4"/>
    <n v="5.1858744934846573E-2"/>
    <n v="6.8021995993294893E-2"/>
    <n v="-1.6163251058448319E-2"/>
    <n v="-6.6748035103395074E-4"/>
    <n v="-1.6830731409482269E-2"/>
    <n v="0"/>
    <n v="0"/>
    <n v="0"/>
    <n v="-1.6830731409482269E-2"/>
  </r>
  <r>
    <x v="1"/>
    <d v="2022-03-03T00:00:00"/>
    <d v="2022-03-22T00:00:00"/>
    <x v="11"/>
    <n v="9"/>
    <n v="109"/>
    <n v="5.6216525614293303E-4"/>
    <n v="4.2858466888302956E-4"/>
    <n v="4.6715728908250223E-2"/>
    <n v="6.1276012919579702E-2"/>
    <n v="-1.4560284011329479E-2"/>
    <n v="-6.0128395258430276E-4"/>
    <n v="-1.5161567963913781E-2"/>
    <n v="0"/>
    <n v="0"/>
    <n v="0"/>
    <n v="-1.5161567963913781E-2"/>
  </r>
  <r>
    <x v="2"/>
    <d v="2022-04-05T00:00:00"/>
    <d v="2022-04-25T00:00:00"/>
    <x v="11"/>
    <n v="9"/>
    <n v="95"/>
    <n v="5.6216525614293303E-4"/>
    <n v="4.2858466888302956E-4"/>
    <n v="4.071554354388781E-2"/>
    <n v="5.3405699333578638E-2"/>
    <n v="-1.2690155789690828E-2"/>
    <n v="-5.2405482105971342E-4"/>
    <n v="-1.3214210610750541E-2"/>
    <n v="0"/>
    <n v="0"/>
    <n v="0"/>
    <n v="-1.3214210610750541E-2"/>
  </r>
  <r>
    <x v="3"/>
    <d v="2022-05-04T00:00:00"/>
    <d v="2022-05-24T00:00:00"/>
    <x v="11"/>
    <n v="9"/>
    <n v="93"/>
    <n v="5.6216525614293303E-4"/>
    <n v="4.2858466888302956E-4"/>
    <n v="3.9858374206121747E-2"/>
    <n v="5.2281368821292772E-2"/>
    <n v="-1.2422994615171025E-2"/>
    <n v="-5.1302208798477205E-4"/>
    <n v="-1.2936016703155797E-2"/>
    <n v="0"/>
    <n v="0"/>
    <n v="0"/>
    <n v="-1.2936016703155797E-2"/>
  </r>
  <r>
    <x v="4"/>
    <d v="2022-06-03T00:00:00"/>
    <d v="2022-06-23T00:00:00"/>
    <x v="11"/>
    <n v="9"/>
    <n v="125"/>
    <n v="5.6216525614293303E-4"/>
    <n v="4.2858466888302956E-4"/>
    <n v="5.3573083610378693E-2"/>
    <n v="7.0270657017866625E-2"/>
    <n v="-1.6697573407487933E-2"/>
    <n v="-6.8954581718383336E-4"/>
    <n v="-1.7387119224671767E-2"/>
    <n v="0"/>
    <n v="0"/>
    <n v="0"/>
    <n v="-1.7387119224671767E-2"/>
  </r>
  <r>
    <x v="5"/>
    <d v="2022-07-05T00:00:00"/>
    <d v="2022-07-25T00:00:00"/>
    <x v="11"/>
    <n v="9"/>
    <n v="159"/>
    <n v="5.6216525614293303E-4"/>
    <n v="4.2858466888302956E-4"/>
    <n v="6.8144962352401695E-2"/>
    <n v="8.9384275726726359E-2"/>
    <n v="-2.1239313374324664E-2"/>
    <n v="-8.7710227945783615E-4"/>
    <n v="-2.2116415653782501E-2"/>
    <n v="0"/>
    <n v="0"/>
    <n v="0"/>
    <n v="-2.2116415653782501E-2"/>
  </r>
  <r>
    <x v="6"/>
    <d v="2022-08-03T00:00:00"/>
    <d v="2022-08-23T00:00:00"/>
    <x v="11"/>
    <n v="9"/>
    <n v="176"/>
    <n v="5.6216525614293303E-4"/>
    <n v="4.2858466888302956E-4"/>
    <n v="7.5430901723413199E-2"/>
    <n v="9.8941085081156219E-2"/>
    <n v="-2.351018335774302E-2"/>
    <n v="-9.7088051059483749E-4"/>
    <n v="-2.4481063868337857E-2"/>
    <n v="0"/>
    <n v="0"/>
    <n v="0"/>
    <n v="-2.4481063868337857E-2"/>
  </r>
  <r>
    <x v="7"/>
    <d v="2022-09-05T00:00:00"/>
    <d v="2022-09-23T00:00:00"/>
    <x v="11"/>
    <n v="9"/>
    <n v="167"/>
    <n v="5.6216525614293303E-4"/>
    <n v="4.2858466888302956E-4"/>
    <n v="7.1573639703465933E-2"/>
    <n v="9.388159777586981E-2"/>
    <n v="-2.2307958072403877E-2"/>
    <n v="-9.2123321175760151E-4"/>
    <n v="-2.3229191284161479E-2"/>
    <n v="0"/>
    <n v="0"/>
    <n v="0"/>
    <n v="-2.3229191284161479E-2"/>
  </r>
  <r>
    <x v="8"/>
    <d v="2022-10-05T00:00:00"/>
    <d v="2022-10-25T00:00:00"/>
    <x v="11"/>
    <n v="9"/>
    <n v="153"/>
    <n v="5.6216525614293303E-4"/>
    <n v="4.2858466888302956E-4"/>
    <n v="6.5573454339103526E-2"/>
    <n v="8.6011284189868753E-2"/>
    <n v="-2.0437829850765227E-2"/>
    <n v="-8.4400408023301205E-4"/>
    <n v="-2.128183393099824E-2"/>
    <n v="0"/>
    <n v="0"/>
    <n v="0"/>
    <n v="-2.128183393099824E-2"/>
  </r>
  <r>
    <x v="9"/>
    <d v="2022-11-03T00:00:00"/>
    <d v="2022-11-23T00:00:00"/>
    <x v="11"/>
    <n v="9"/>
    <n v="104"/>
    <n v="5.6216525614293303E-4"/>
    <n v="4.2858466888302956E-4"/>
    <n v="4.4572805563835076E-2"/>
    <n v="5.8465186638865033E-2"/>
    <n v="-1.3892381075029957E-2"/>
    <n v="-5.737021198969494E-4"/>
    <n v="-1.4466083194926906E-2"/>
    <n v="0"/>
    <n v="0"/>
    <n v="0"/>
    <n v="-1.4466083194926906E-2"/>
  </r>
  <r>
    <x v="10"/>
    <d v="2022-12-05T00:00:00"/>
    <d v="2022-12-23T00:00:00"/>
    <x v="11"/>
    <n v="9"/>
    <n v="104"/>
    <n v="5.6216525614293303E-4"/>
    <n v="4.2858466888302956E-4"/>
    <n v="4.4572805563835076E-2"/>
    <n v="5.8465186638865033E-2"/>
    <n v="-1.3892381075029957E-2"/>
    <n v="-5.737021198969494E-4"/>
    <n v="-1.4466083194926906E-2"/>
    <n v="0"/>
    <n v="0"/>
    <n v="0"/>
    <n v="-1.4466083194926906E-2"/>
  </r>
  <r>
    <x v="11"/>
    <d v="2023-01-04T00:00:00"/>
    <d v="2023-01-24T00:00:00"/>
    <x v="11"/>
    <n v="9"/>
    <n v="139"/>
    <n v="5.6216525614293303E-4"/>
    <n v="4.2858466888302956E-4"/>
    <n v="5.9573268974741106E-2"/>
    <n v="7.8140970603867696E-2"/>
    <n v="-1.856770162912659E-2"/>
    <n v="-7.6677494870842282E-4"/>
    <n v="-1.9334476577835012E-2"/>
    <n v="0"/>
    <n v="0"/>
    <n v="0"/>
    <n v="-1.9334476577835012E-2"/>
  </r>
  <r>
    <x v="0"/>
    <d v="2022-02-03T00:00:00"/>
    <d v="2022-02-23T00:00:00"/>
    <x v="12"/>
    <n v="9"/>
    <n v="8"/>
    <n v="5.6216525614293303E-4"/>
    <n v="4.2858466888302956E-4"/>
    <n v="3.4286773510642365E-3"/>
    <n v="4.4973220491434642E-3"/>
    <n v="-1.0686446980792278E-3"/>
    <n v="-4.4130932299765342E-5"/>
    <n v="-1.112775630378993E-3"/>
    <n v="0"/>
    <n v="0"/>
    <n v="0"/>
    <n v="-1.112775630378993E-3"/>
  </r>
  <r>
    <x v="1"/>
    <d v="2022-03-03T00:00:00"/>
    <d v="2022-03-22T00:00:00"/>
    <x v="12"/>
    <n v="9"/>
    <n v="11"/>
    <n v="5.6216525614293303E-4"/>
    <n v="4.2858466888302956E-4"/>
    <n v="4.7144313577133249E-3"/>
    <n v="6.1838178175722637E-3"/>
    <n v="-1.4693864598589387E-3"/>
    <n v="-6.0680031912177343E-5"/>
    <n v="-1.5300664917711161E-3"/>
    <n v="0"/>
    <n v="0"/>
    <n v="0"/>
    <n v="-1.5300664917711161E-3"/>
  </r>
  <r>
    <x v="2"/>
    <d v="2022-04-05T00:00:00"/>
    <d v="2022-04-25T00:00:00"/>
    <x v="12"/>
    <n v="9"/>
    <n v="9"/>
    <n v="5.6216525614293303E-4"/>
    <n v="4.2858466888302956E-4"/>
    <n v="3.8572620199472663E-3"/>
    <n v="5.0594873052863974E-3"/>
    <n v="-1.2022252853391311E-3"/>
    <n v="-4.9647298837236011E-5"/>
    <n v="-1.2518725841763672E-3"/>
    <n v="0"/>
    <n v="0"/>
    <n v="0"/>
    <n v="-1.2518725841763672E-3"/>
  </r>
  <r>
    <x v="3"/>
    <d v="2022-05-04T00:00:00"/>
    <d v="2022-05-24T00:00:00"/>
    <x v="12"/>
    <n v="9"/>
    <n v="11"/>
    <n v="5.6216525614293303E-4"/>
    <n v="4.2858466888302956E-4"/>
    <n v="4.7144313577133249E-3"/>
    <n v="6.1838178175722637E-3"/>
    <n v="-1.4693864598589387E-3"/>
    <n v="-6.0680031912177343E-5"/>
    <n v="-1.5300664917711161E-3"/>
    <n v="0"/>
    <n v="0"/>
    <n v="0"/>
    <n v="-1.5300664917711161E-3"/>
  </r>
  <r>
    <x v="4"/>
    <d v="2022-06-03T00:00:00"/>
    <d v="2022-06-23T00:00:00"/>
    <x v="12"/>
    <n v="9"/>
    <n v="11"/>
    <n v="5.6216525614293303E-4"/>
    <n v="4.2858466888302956E-4"/>
    <n v="4.7144313577133249E-3"/>
    <n v="6.1838178175722637E-3"/>
    <n v="-1.4693864598589387E-3"/>
    <n v="-6.0680031912177343E-5"/>
    <n v="-1.5300664917711161E-3"/>
    <n v="0"/>
    <n v="0"/>
    <n v="0"/>
    <n v="-1.5300664917711161E-3"/>
  </r>
  <r>
    <x v="5"/>
    <d v="2022-07-05T00:00:00"/>
    <d v="2022-07-25T00:00:00"/>
    <x v="12"/>
    <n v="9"/>
    <n v="14"/>
    <n v="5.6216525614293303E-4"/>
    <n v="4.2858466888302956E-4"/>
    <n v="6.0001853643624134E-3"/>
    <n v="7.8703135860010622E-3"/>
    <n v="-1.8701282216386488E-3"/>
    <n v="-7.7229131524589345E-5"/>
    <n v="-1.9473573531632381E-3"/>
    <n v="0"/>
    <n v="0"/>
    <n v="0"/>
    <n v="-1.9473573531632381E-3"/>
  </r>
  <r>
    <x v="6"/>
    <d v="2022-08-03T00:00:00"/>
    <d v="2022-08-23T00:00:00"/>
    <x v="12"/>
    <n v="9"/>
    <n v="13"/>
    <n v="5.6216525614293303E-4"/>
    <n v="4.2858466888302956E-4"/>
    <n v="5.5716006954793845E-3"/>
    <n v="7.3081483298581291E-3"/>
    <n v="-1.7365476343787446E-3"/>
    <n v="-7.1712764987118675E-5"/>
    <n v="-1.8082603993658632E-3"/>
    <n v="0"/>
    <n v="0"/>
    <n v="0"/>
    <n v="-1.8082603993658632E-3"/>
  </r>
  <r>
    <x v="7"/>
    <d v="2022-09-05T00:00:00"/>
    <d v="2022-09-23T00:00:00"/>
    <x v="12"/>
    <n v="9"/>
    <n v="13"/>
    <n v="5.6216525614293303E-4"/>
    <n v="4.2858466888302956E-4"/>
    <n v="5.5716006954793845E-3"/>
    <n v="7.3081483298581291E-3"/>
    <n v="-1.7365476343787446E-3"/>
    <n v="-7.1712764987118675E-5"/>
    <n v="-1.8082603993658632E-3"/>
    <n v="0"/>
    <n v="0"/>
    <n v="0"/>
    <n v="-1.8082603993658632E-3"/>
  </r>
  <r>
    <x v="8"/>
    <d v="2022-10-05T00:00:00"/>
    <d v="2022-10-25T00:00:00"/>
    <x v="12"/>
    <n v="9"/>
    <n v="13"/>
    <n v="5.6216525614293303E-4"/>
    <n v="4.2858466888302956E-4"/>
    <n v="5.5716006954793845E-3"/>
    <n v="7.3081483298581291E-3"/>
    <n v="-1.7365476343787446E-3"/>
    <n v="-7.1712764987118675E-5"/>
    <n v="-1.8082603993658632E-3"/>
    <n v="0"/>
    <n v="0"/>
    <n v="0"/>
    <n v="-1.8082603993658632E-3"/>
  </r>
  <r>
    <x v="9"/>
    <d v="2022-11-03T00:00:00"/>
    <d v="2022-11-23T00:00:00"/>
    <x v="12"/>
    <n v="9"/>
    <n v="10"/>
    <n v="5.6216525614293303E-4"/>
    <n v="4.2858466888302956E-4"/>
    <n v="4.285846688830296E-3"/>
    <n v="5.6216525614293305E-3"/>
    <n v="-1.3358058725990345E-3"/>
    <n v="-5.5163665374706674E-5"/>
    <n v="-1.3909695379737412E-3"/>
    <n v="0"/>
    <n v="0"/>
    <n v="0"/>
    <n v="-1.3909695379737412E-3"/>
  </r>
  <r>
    <x v="10"/>
    <d v="2022-12-05T00:00:00"/>
    <d v="2022-12-23T00:00:00"/>
    <x v="12"/>
    <n v="9"/>
    <n v="9"/>
    <n v="5.6216525614293303E-4"/>
    <n v="4.2858466888302956E-4"/>
    <n v="3.8572620199472663E-3"/>
    <n v="5.0594873052863974E-3"/>
    <n v="-1.2022252853391311E-3"/>
    <n v="-4.9647298837236011E-5"/>
    <n v="-1.2518725841763672E-3"/>
    <n v="0"/>
    <n v="0"/>
    <n v="0"/>
    <n v="-1.2518725841763672E-3"/>
  </r>
  <r>
    <x v="11"/>
    <d v="2023-01-04T00:00:00"/>
    <d v="2023-01-24T00:00:00"/>
    <x v="12"/>
    <n v="9"/>
    <n v="9"/>
    <n v="5.6216525614293303E-4"/>
    <n v="4.2858466888302956E-4"/>
    <n v="3.8572620199472663E-3"/>
    <n v="5.0594873052863974E-3"/>
    <n v="-1.2022252853391311E-3"/>
    <n v="-4.9647298837236011E-5"/>
    <n v="-1.2518725841763672E-3"/>
    <n v="0"/>
    <n v="0"/>
    <n v="0"/>
    <n v="-1.2518725841763672E-3"/>
  </r>
  <r>
    <x v="0"/>
    <d v="2022-02-03T00:00:00"/>
    <d v="2022-02-23T00:00:00"/>
    <x v="13"/>
    <n v="9"/>
    <n v="22"/>
    <n v="5.6216525614293303E-4"/>
    <n v="4.2858466888302956E-4"/>
    <n v="9.4288627154266499E-3"/>
    <n v="1.2367635635144527E-2"/>
    <n v="-2.9387729197178775E-3"/>
    <n v="-1.2136006382435469E-4"/>
    <n v="-3.0601329835422322E-3"/>
    <n v="0"/>
    <n v="0"/>
    <n v="0"/>
    <n v="-3.0601329835422322E-3"/>
  </r>
  <r>
    <x v="1"/>
    <d v="2022-03-03T00:00:00"/>
    <d v="2022-03-22T00:00:00"/>
    <x v="13"/>
    <n v="9"/>
    <n v="22"/>
    <n v="5.6216525614293303E-4"/>
    <n v="4.2858466888302956E-4"/>
    <n v="9.4288627154266499E-3"/>
    <n v="1.2367635635144527E-2"/>
    <n v="-2.9387729197178775E-3"/>
    <n v="-1.2136006382435469E-4"/>
    <n v="-3.0601329835422322E-3"/>
    <n v="0"/>
    <n v="0"/>
    <n v="0"/>
    <n v="-3.0601329835422322E-3"/>
  </r>
  <r>
    <x v="2"/>
    <d v="2022-04-05T00:00:00"/>
    <d v="2022-04-25T00:00:00"/>
    <x v="13"/>
    <n v="9"/>
    <n v="18"/>
    <n v="5.6216525614293303E-4"/>
    <n v="4.2858466888302956E-4"/>
    <n v="7.7145240398945325E-3"/>
    <n v="1.0118974610572795E-2"/>
    <n v="-2.4044505706782623E-3"/>
    <n v="-9.9294597674472022E-5"/>
    <n v="-2.5037451683527345E-3"/>
    <n v="0"/>
    <n v="0"/>
    <n v="0"/>
    <n v="-2.5037451683527345E-3"/>
  </r>
  <r>
    <x v="3"/>
    <d v="2022-05-04T00:00:00"/>
    <d v="2022-05-24T00:00:00"/>
    <x v="13"/>
    <n v="9"/>
    <n v="21"/>
    <n v="5.6216525614293303E-4"/>
    <n v="4.2858466888302956E-4"/>
    <n v="9.0002780465436201E-3"/>
    <n v="1.1805470379001594E-2"/>
    <n v="-2.8051923324579741E-3"/>
    <n v="-1.1584369728688402E-4"/>
    <n v="-2.9210360297448582E-3"/>
    <n v="0"/>
    <n v="0"/>
    <n v="0"/>
    <n v="-2.9210360297448582E-3"/>
  </r>
  <r>
    <x v="4"/>
    <d v="2022-06-03T00:00:00"/>
    <d v="2022-06-23T00:00:00"/>
    <x v="13"/>
    <n v="9"/>
    <n v="31"/>
    <n v="5.6216525614293303E-4"/>
    <n v="4.2858466888302956E-4"/>
    <n v="1.3286124735373916E-2"/>
    <n v="1.7427122940430924E-2"/>
    <n v="-4.1409982050570077E-3"/>
    <n v="-1.7100736266159068E-4"/>
    <n v="-4.3120055677185985E-3"/>
    <n v="0"/>
    <n v="0"/>
    <n v="0"/>
    <n v="-4.3120055677185985E-3"/>
  </r>
  <r>
    <x v="5"/>
    <d v="2022-07-05T00:00:00"/>
    <d v="2022-07-25T00:00:00"/>
    <x v="13"/>
    <n v="9"/>
    <n v="38"/>
    <n v="5.6216525614293303E-4"/>
    <n v="4.2858466888302956E-4"/>
    <n v="1.6286217417555125E-2"/>
    <n v="2.1362279733431456E-2"/>
    <n v="-5.0760623158763313E-3"/>
    <n v="-2.0962192842388536E-4"/>
    <n v="-5.2856842443002169E-3"/>
    <n v="0"/>
    <n v="0"/>
    <n v="0"/>
    <n v="-5.2856842443002169E-3"/>
  </r>
  <r>
    <x v="6"/>
    <d v="2022-08-03T00:00:00"/>
    <d v="2022-08-23T00:00:00"/>
    <x v="13"/>
    <n v="9"/>
    <n v="40"/>
    <n v="5.6216525614293303E-4"/>
    <n v="4.2858466888302956E-4"/>
    <n v="1.7143386755321184E-2"/>
    <n v="2.2486610245717322E-2"/>
    <n v="-5.343223490396138E-3"/>
    <n v="-2.2065466149882669E-4"/>
    <n v="-5.5638781518949649E-3"/>
    <n v="0"/>
    <n v="0"/>
    <n v="0"/>
    <n v="-5.5638781518949649E-3"/>
  </r>
  <r>
    <x v="7"/>
    <d v="2022-09-05T00:00:00"/>
    <d v="2022-09-23T00:00:00"/>
    <x v="13"/>
    <n v="9"/>
    <n v="38"/>
    <n v="5.6216525614293303E-4"/>
    <n v="4.2858466888302956E-4"/>
    <n v="1.6286217417555125E-2"/>
    <n v="2.1362279733431456E-2"/>
    <n v="-5.0760623158763313E-3"/>
    <n v="-2.0962192842388536E-4"/>
    <n v="-5.2856842443002169E-3"/>
    <n v="0"/>
    <n v="0"/>
    <n v="0"/>
    <n v="-5.2856842443002169E-3"/>
  </r>
  <r>
    <x v="8"/>
    <d v="2022-10-05T00:00:00"/>
    <d v="2022-10-25T00:00:00"/>
    <x v="13"/>
    <n v="9"/>
    <n v="35"/>
    <n v="5.6216525614293303E-4"/>
    <n v="4.2858466888302956E-4"/>
    <n v="1.5000463410906035E-2"/>
    <n v="1.9675783965002656E-2"/>
    <n v="-4.6753205540966212E-3"/>
    <n v="-1.9307282881147336E-4"/>
    <n v="-4.8683933829080945E-3"/>
    <n v="0"/>
    <n v="0"/>
    <n v="0"/>
    <n v="-4.8683933829080945E-3"/>
  </r>
  <r>
    <x v="9"/>
    <d v="2022-11-03T00:00:00"/>
    <d v="2022-11-23T00:00:00"/>
    <x v="13"/>
    <n v="9"/>
    <n v="23"/>
    <n v="5.6216525614293303E-4"/>
    <n v="4.2858466888302956E-4"/>
    <n v="9.8574473843096796E-3"/>
    <n v="1.292980089128746E-2"/>
    <n v="-3.0723535069777808E-3"/>
    <n v="-1.2687643036182536E-4"/>
    <n v="-3.1992299373396062E-3"/>
    <n v="0"/>
    <n v="0"/>
    <n v="0"/>
    <n v="-3.1992299373396062E-3"/>
  </r>
  <r>
    <x v="10"/>
    <d v="2022-12-05T00:00:00"/>
    <d v="2022-12-23T00:00:00"/>
    <x v="13"/>
    <n v="9"/>
    <n v="18"/>
    <n v="5.6216525614293303E-4"/>
    <n v="4.2858466888302956E-4"/>
    <n v="7.7145240398945325E-3"/>
    <n v="1.0118974610572795E-2"/>
    <n v="-2.4044505706782623E-3"/>
    <n v="-9.9294597674472022E-5"/>
    <n v="-2.5037451683527345E-3"/>
    <n v="0"/>
    <n v="0"/>
    <n v="0"/>
    <n v="-2.5037451683527345E-3"/>
  </r>
  <r>
    <x v="11"/>
    <d v="2023-01-04T00:00:00"/>
    <d v="2023-01-24T00:00:00"/>
    <x v="13"/>
    <n v="9"/>
    <n v="27"/>
    <n v="5.6216525614293303E-4"/>
    <n v="4.2858466888302956E-4"/>
    <n v="1.1571786059841799E-2"/>
    <n v="1.5178461915859191E-2"/>
    <n v="-3.6066758560173925E-3"/>
    <n v="-1.4894189651170803E-4"/>
    <n v="-3.7556177525291004E-3"/>
    <n v="0"/>
    <n v="0"/>
    <n v="0"/>
    <n v="-3.7556177525291004E-3"/>
  </r>
  <r>
    <x v="0"/>
    <d v="2022-02-03T00:00:00"/>
    <d v="2022-02-23T00:00:00"/>
    <x v="14"/>
    <n v="9"/>
    <n v="37"/>
    <n v="5.6216525614293303E-4"/>
    <n v="4.2858466888302956E-4"/>
    <n v="1.5857632748672093E-2"/>
    <n v="2.0800114477288523E-2"/>
    <n v="-4.9424817286164296E-3"/>
    <n v="-2.041055618864147E-4"/>
    <n v="-5.1465872905028442E-3"/>
    <n v="0"/>
    <n v="0"/>
    <n v="0"/>
    <n v="-5.1465872905028442E-3"/>
  </r>
  <r>
    <x v="1"/>
    <d v="2022-03-03T00:00:00"/>
    <d v="2022-03-22T00:00:00"/>
    <x v="14"/>
    <n v="9"/>
    <n v="37"/>
    <n v="5.6216525614293303E-4"/>
    <n v="4.2858466888302956E-4"/>
    <n v="1.5857632748672093E-2"/>
    <n v="2.0800114477288523E-2"/>
    <n v="-4.9424817286164296E-3"/>
    <n v="-2.041055618864147E-4"/>
    <n v="-5.1465872905028442E-3"/>
    <n v="0"/>
    <n v="0"/>
    <n v="0"/>
    <n v="-5.1465872905028442E-3"/>
  </r>
  <r>
    <x v="2"/>
    <d v="2022-04-05T00:00:00"/>
    <d v="2022-04-25T00:00:00"/>
    <x v="14"/>
    <n v="9"/>
    <n v="25"/>
    <n v="5.6216525614293303E-4"/>
    <n v="4.2858466888302956E-4"/>
    <n v="1.0714616722075739E-2"/>
    <n v="1.4054131403573325E-2"/>
    <n v="-3.3395146814975858E-3"/>
    <n v="-1.3790916343676667E-4"/>
    <n v="-3.4774238449343524E-3"/>
    <n v="0"/>
    <n v="0"/>
    <n v="0"/>
    <n v="-3.4774238449343524E-3"/>
  </r>
  <r>
    <x v="3"/>
    <d v="2022-05-04T00:00:00"/>
    <d v="2022-05-24T00:00:00"/>
    <x v="14"/>
    <n v="9"/>
    <n v="31"/>
    <n v="5.6216525614293303E-4"/>
    <n v="4.2858466888302956E-4"/>
    <n v="1.3286124735373916E-2"/>
    <n v="1.7427122940430924E-2"/>
    <n v="-4.1409982050570077E-3"/>
    <n v="-1.7100736266159068E-4"/>
    <n v="-4.3120055677185985E-3"/>
    <n v="0"/>
    <n v="0"/>
    <n v="0"/>
    <n v="-4.3120055677185985E-3"/>
  </r>
  <r>
    <x v="4"/>
    <d v="2022-06-03T00:00:00"/>
    <d v="2022-06-23T00:00:00"/>
    <x v="14"/>
    <n v="9"/>
    <n v="40"/>
    <n v="5.6216525614293303E-4"/>
    <n v="4.2858466888302956E-4"/>
    <n v="1.7143386755321184E-2"/>
    <n v="2.2486610245717322E-2"/>
    <n v="-5.343223490396138E-3"/>
    <n v="-2.2065466149882669E-4"/>
    <n v="-5.5638781518949649E-3"/>
    <n v="0"/>
    <n v="0"/>
    <n v="0"/>
    <n v="-5.5638781518949649E-3"/>
  </r>
  <r>
    <x v="5"/>
    <d v="2022-07-05T00:00:00"/>
    <d v="2022-07-25T00:00:00"/>
    <x v="14"/>
    <n v="9"/>
    <n v="48"/>
    <n v="5.6216525614293303E-4"/>
    <n v="4.2858466888302956E-4"/>
    <n v="2.0572064106385419E-2"/>
    <n v="2.6983932294860784E-2"/>
    <n v="-6.4118681884753649E-3"/>
    <n v="-2.6478559379859202E-4"/>
    <n v="-6.6766537822739568E-3"/>
    <n v="0"/>
    <n v="0"/>
    <n v="0"/>
    <n v="-6.6766537822739568E-3"/>
  </r>
  <r>
    <x v="6"/>
    <d v="2022-08-03T00:00:00"/>
    <d v="2022-08-23T00:00:00"/>
    <x v="14"/>
    <n v="9"/>
    <n v="52"/>
    <n v="5.6216525614293303E-4"/>
    <n v="4.2858466888302956E-4"/>
    <n v="2.2286402781917538E-2"/>
    <n v="2.9232593319432516E-2"/>
    <n v="-6.9461905375149784E-3"/>
    <n v="-2.868510599484747E-4"/>
    <n v="-7.2330415974634528E-3"/>
    <n v="0"/>
    <n v="0"/>
    <n v="0"/>
    <n v="-7.2330415974634528E-3"/>
  </r>
  <r>
    <x v="7"/>
    <d v="2022-09-05T00:00:00"/>
    <d v="2022-09-23T00:00:00"/>
    <x v="14"/>
    <n v="9"/>
    <n v="50"/>
    <n v="5.6216525614293303E-4"/>
    <n v="4.2858466888302956E-4"/>
    <n v="2.1429233444151478E-2"/>
    <n v="2.810826280714665E-2"/>
    <n v="-6.6790293629951716E-3"/>
    <n v="-2.7581832687353333E-4"/>
    <n v="-6.9548476898687048E-3"/>
    <n v="0"/>
    <n v="0"/>
    <n v="0"/>
    <n v="-6.9548476898687048E-3"/>
  </r>
  <r>
    <x v="8"/>
    <d v="2022-10-05T00:00:00"/>
    <d v="2022-10-25T00:00:00"/>
    <x v="14"/>
    <n v="9"/>
    <n v="47"/>
    <n v="5.6216525614293303E-4"/>
    <n v="4.2858466888302956E-4"/>
    <n v="2.0143479437502391E-2"/>
    <n v="2.6421767038717854E-2"/>
    <n v="-6.2782876012154633E-3"/>
    <n v="-2.5926922726112139E-4"/>
    <n v="-6.537556828476585E-3"/>
    <n v="0"/>
    <n v="0"/>
    <n v="0"/>
    <n v="-6.537556828476585E-3"/>
  </r>
  <r>
    <x v="9"/>
    <d v="2022-11-03T00:00:00"/>
    <d v="2022-11-23T00:00:00"/>
    <x v="14"/>
    <n v="9"/>
    <n v="35"/>
    <n v="5.6216525614293303E-4"/>
    <n v="4.2858466888302956E-4"/>
    <n v="1.5000463410906035E-2"/>
    <n v="1.9675783965002656E-2"/>
    <n v="-4.6753205540966212E-3"/>
    <n v="-1.9307282881147336E-4"/>
    <n v="-4.8683933829080945E-3"/>
    <n v="0"/>
    <n v="0"/>
    <n v="0"/>
    <n v="-4.8683933829080945E-3"/>
  </r>
  <r>
    <x v="10"/>
    <d v="2022-12-05T00:00:00"/>
    <d v="2022-12-23T00:00:00"/>
    <x v="14"/>
    <n v="9"/>
    <n v="34"/>
    <n v="5.6216525614293303E-4"/>
    <n v="4.2858466888302956E-4"/>
    <n v="1.4571878742023005E-2"/>
    <n v="1.9113618708859723E-2"/>
    <n v="-4.5417399668367178E-3"/>
    <n v="-1.8755646227400271E-4"/>
    <n v="-4.7292964291107209E-3"/>
    <n v="0"/>
    <n v="0"/>
    <n v="0"/>
    <n v="-4.7292964291107209E-3"/>
  </r>
  <r>
    <x v="11"/>
    <d v="2023-01-04T00:00:00"/>
    <d v="2023-01-24T00:00:00"/>
    <x v="14"/>
    <n v="9"/>
    <n v="34"/>
    <n v="5.6216525614293303E-4"/>
    <n v="4.2858466888302956E-4"/>
    <n v="1.4571878742023005E-2"/>
    <n v="1.9113618708859723E-2"/>
    <n v="-4.5417399668367178E-3"/>
    <n v="-1.8755646227400271E-4"/>
    <n v="-4.7292964291107209E-3"/>
    <n v="0"/>
    <n v="0"/>
    <n v="0"/>
    <n v="-4.7292964291107209E-3"/>
  </r>
  <r>
    <x v="0"/>
    <d v="2022-02-03T00:00:00"/>
    <d v="2022-02-23T00:00:00"/>
    <x v="15"/>
    <n v="9"/>
    <n v="106"/>
    <n v="5.6216525614293303E-4"/>
    <n v="4.2858466888302956E-4"/>
    <n v="4.5429974901601132E-2"/>
    <n v="5.9589517151150899E-2"/>
    <n v="-1.4159542249549767E-2"/>
    <n v="-5.8473485297189077E-4"/>
    <n v="-1.4744277102521658E-2"/>
    <n v="0"/>
    <n v="0"/>
    <n v="0"/>
    <n v="-1.4744277102521658E-2"/>
  </r>
  <r>
    <x v="1"/>
    <d v="2022-03-03T00:00:00"/>
    <d v="2022-03-22T00:00:00"/>
    <x v="15"/>
    <n v="9"/>
    <n v="101"/>
    <n v="5.6216525614293303E-4"/>
    <n v="4.2858466888302956E-4"/>
    <n v="4.3287051557185985E-2"/>
    <n v="5.6778690870436237E-2"/>
    <n v="-1.3491639313250252E-2"/>
    <n v="-5.5715302028453741E-4"/>
    <n v="-1.4048792333534789E-2"/>
    <n v="0"/>
    <n v="0"/>
    <n v="0"/>
    <n v="-1.4048792333534789E-2"/>
  </r>
  <r>
    <x v="2"/>
    <d v="2022-04-05T00:00:00"/>
    <d v="2022-04-25T00:00:00"/>
    <x v="15"/>
    <n v="9"/>
    <n v="97"/>
    <n v="5.6216525614293303E-4"/>
    <n v="4.2858466888302956E-4"/>
    <n v="4.1572712881653866E-2"/>
    <n v="5.4530029845864504E-2"/>
    <n v="-1.2957316964210638E-2"/>
    <n v="-5.3508755413465478E-4"/>
    <n v="-1.3492404518345293E-2"/>
    <n v="0"/>
    <n v="0"/>
    <n v="0"/>
    <n v="-1.3492404518345293E-2"/>
  </r>
  <r>
    <x v="3"/>
    <d v="2022-05-04T00:00:00"/>
    <d v="2022-05-24T00:00:00"/>
    <x v="15"/>
    <n v="9"/>
    <n v="98"/>
    <n v="5.6216525614293303E-4"/>
    <n v="4.2858466888302956E-4"/>
    <n v="4.2001297550536894E-2"/>
    <n v="5.5092195102007434E-2"/>
    <n v="-1.309089755147054E-2"/>
    <n v="-5.4060392067212541E-4"/>
    <n v="-1.3631501472142666E-2"/>
    <n v="0"/>
    <n v="0"/>
    <n v="0"/>
    <n v="-1.3631501472142666E-2"/>
  </r>
  <r>
    <x v="4"/>
    <d v="2022-06-03T00:00:00"/>
    <d v="2022-06-23T00:00:00"/>
    <x v="15"/>
    <n v="9"/>
    <n v="104"/>
    <n v="5.6216525614293303E-4"/>
    <n v="4.2858466888302956E-4"/>
    <n v="4.4572805563835076E-2"/>
    <n v="5.8465186638865033E-2"/>
    <n v="-1.3892381075029957E-2"/>
    <n v="-5.737021198969494E-4"/>
    <n v="-1.4466083194926906E-2"/>
    <n v="0"/>
    <n v="0"/>
    <n v="0"/>
    <n v="-1.4466083194926906E-2"/>
  </r>
  <r>
    <x v="5"/>
    <d v="2022-07-05T00:00:00"/>
    <d v="2022-07-25T00:00:00"/>
    <x v="15"/>
    <n v="9"/>
    <n v="115"/>
    <n v="5.6216525614293303E-4"/>
    <n v="4.2858466888302956E-4"/>
    <n v="4.9287236921548398E-2"/>
    <n v="6.4649004456437301E-2"/>
    <n v="-1.5361767534888902E-2"/>
    <n v="-6.3438215180912686E-4"/>
    <n v="-1.5996149686698029E-2"/>
    <n v="0"/>
    <n v="0"/>
    <n v="0"/>
    <n v="-1.5996149686698029E-2"/>
  </r>
  <r>
    <x v="6"/>
    <d v="2022-08-03T00:00:00"/>
    <d v="2022-08-23T00:00:00"/>
    <x v="15"/>
    <n v="9"/>
    <n v="42"/>
    <n v="5.6216525614293303E-4"/>
    <n v="4.2858466888302956E-4"/>
    <n v="1.800055609308724E-2"/>
    <n v="2.3610940758003188E-2"/>
    <n v="-5.6103846649159482E-3"/>
    <n v="-2.3168739457376803E-4"/>
    <n v="-5.8420720594897163E-3"/>
    <n v="0"/>
    <n v="0"/>
    <n v="0"/>
    <n v="-5.8420720594897163E-3"/>
  </r>
  <r>
    <x v="7"/>
    <d v="2022-09-05T00:00:00"/>
    <d v="2022-09-23T00:00:00"/>
    <x v="15"/>
    <n v="9"/>
    <n v="41"/>
    <n v="5.6216525614293303E-4"/>
    <n v="4.2858466888302956E-4"/>
    <n v="1.7571971424204212E-2"/>
    <n v="2.3048775501860255E-2"/>
    <n v="-5.4768040776560431E-3"/>
    <n v="-2.2617102803629735E-4"/>
    <n v="-5.7029751056923402E-3"/>
    <n v="0"/>
    <n v="0"/>
    <n v="0"/>
    <n v="-5.7029751056923402E-3"/>
  </r>
  <r>
    <x v="8"/>
    <d v="2022-10-05T00:00:00"/>
    <d v="2022-10-25T00:00:00"/>
    <x v="15"/>
    <n v="9"/>
    <n v="115"/>
    <n v="5.6216525614293303E-4"/>
    <n v="4.2858466888302956E-4"/>
    <n v="4.9287236921548398E-2"/>
    <n v="6.4649004456437301E-2"/>
    <n v="-1.5361767534888902E-2"/>
    <n v="-6.3438215180912686E-4"/>
    <n v="-1.5996149686698029E-2"/>
    <n v="0"/>
    <n v="0"/>
    <n v="0"/>
    <n v="-1.5996149686698029E-2"/>
  </r>
  <r>
    <x v="9"/>
    <d v="2022-11-03T00:00:00"/>
    <d v="2022-11-23T00:00:00"/>
    <x v="15"/>
    <n v="9"/>
    <n v="105"/>
    <n v="5.6216525614293303E-4"/>
    <n v="4.2858466888302956E-4"/>
    <n v="4.5001390232718104E-2"/>
    <n v="5.9027351895007969E-2"/>
    <n v="-1.4025961662289865E-2"/>
    <n v="-5.7921848643442014E-4"/>
    <n v="-1.4605180148724285E-2"/>
    <n v="0"/>
    <n v="0"/>
    <n v="0"/>
    <n v="-1.4605180148724285E-2"/>
  </r>
  <r>
    <x v="10"/>
    <d v="2022-12-05T00:00:00"/>
    <d v="2022-12-23T00:00:00"/>
    <x v="15"/>
    <n v="9"/>
    <n v="104"/>
    <n v="5.6216525614293303E-4"/>
    <n v="4.2858466888302956E-4"/>
    <n v="4.4572805563835076E-2"/>
    <n v="5.8465186638865033E-2"/>
    <n v="-1.3892381075029957E-2"/>
    <n v="-5.737021198969494E-4"/>
    <n v="-1.4466083194926906E-2"/>
    <n v="0"/>
    <n v="0"/>
    <n v="0"/>
    <n v="-1.4466083194926906E-2"/>
  </r>
  <r>
    <x v="11"/>
    <d v="2023-01-04T00:00:00"/>
    <d v="2023-01-24T00:00:00"/>
    <x v="15"/>
    <n v="9"/>
    <n v="104"/>
    <n v="5.6216525614293303E-4"/>
    <n v="4.2858466888302956E-4"/>
    <n v="4.4572805563835076E-2"/>
    <n v="5.8465186638865033E-2"/>
    <n v="-1.3892381075029957E-2"/>
    <n v="-5.737021198969494E-4"/>
    <n v="-1.4466083194926906E-2"/>
    <n v="0"/>
    <n v="0"/>
    <n v="0"/>
    <n v="-1.4466083194926906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dataOnRows="1" applyNumberFormats="0" applyBorderFormats="0" applyFontFormats="0" applyPatternFormats="0" applyAlignmentFormats="0" applyWidthHeightFormats="1" dataCaption="Data" updatedVersion="7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57">
        <item m="1" x="57"/>
        <item m="1" x="81"/>
        <item m="1" x="105"/>
        <item m="1" x="129"/>
        <item m="1" x="153"/>
        <item m="1" x="33"/>
        <item m="1" x="68"/>
        <item m="1" x="92"/>
        <item m="1" x="116"/>
        <item m="1" x="140"/>
        <item m="1" x="20"/>
        <item m="1" x="44"/>
        <item m="1" x="58"/>
        <item m="1" x="82"/>
        <item m="1" x="106"/>
        <item m="1" x="130"/>
        <item m="1" x="154"/>
        <item m="1" x="34"/>
        <item m="1" x="70"/>
        <item m="1" x="94"/>
        <item m="1" x="118"/>
        <item m="1" x="142"/>
        <item m="1" x="22"/>
        <item m="1" x="46"/>
        <item m="1" x="59"/>
        <item m="1" x="83"/>
        <item m="1" x="107"/>
        <item m="1" x="131"/>
        <item m="1" x="155"/>
        <item m="1" x="35"/>
        <item m="1" x="71"/>
        <item m="1" x="95"/>
        <item m="1" x="119"/>
        <item m="1" x="143"/>
        <item m="1" x="23"/>
        <item m="1" x="47"/>
        <item m="1" x="60"/>
        <item m="1" x="84"/>
        <item m="1" x="108"/>
        <item m="1" x="132"/>
        <item m="1" x="12"/>
        <item m="1" x="36"/>
        <item m="1" x="72"/>
        <item m="1" x="96"/>
        <item m="1" x="120"/>
        <item m="1" x="144"/>
        <item m="1" x="24"/>
        <item m="1" x="48"/>
        <item m="1" x="61"/>
        <item m="1" x="85"/>
        <item m="1" x="109"/>
        <item m="1" x="133"/>
        <item m="1" x="13"/>
        <item m="1" x="37"/>
        <item m="1" x="73"/>
        <item m="1" x="97"/>
        <item m="1" x="121"/>
        <item m="1" x="145"/>
        <item m="1" x="25"/>
        <item m="1" x="49"/>
        <item m="1" x="62"/>
        <item m="1" x="86"/>
        <item m="1" x="110"/>
        <item m="1" x="134"/>
        <item m="1" x="14"/>
        <item m="1" x="38"/>
        <item m="1" x="74"/>
        <item m="1" x="98"/>
        <item m="1" x="122"/>
        <item m="1" x="146"/>
        <item m="1" x="26"/>
        <item m="1" x="50"/>
        <item m="1" x="63"/>
        <item m="1" x="87"/>
        <item m="1" x="111"/>
        <item m="1" x="135"/>
        <item m="1" x="15"/>
        <item m="1" x="39"/>
        <item m="1" x="75"/>
        <item m="1" x="99"/>
        <item m="1" x="123"/>
        <item m="1" x="147"/>
        <item m="1" x="27"/>
        <item m="1" x="51"/>
        <item m="1" x="64"/>
        <item m="1" x="88"/>
        <item m="1" x="112"/>
        <item m="1" x="136"/>
        <item m="1" x="16"/>
        <item m="1" x="40"/>
        <item m="1" x="76"/>
        <item m="1" x="100"/>
        <item m="1" x="124"/>
        <item m="1" x="148"/>
        <item m="1" x="28"/>
        <item m="1" x="52"/>
        <item m="1" x="65"/>
        <item m="1" x="89"/>
        <item m="1" x="113"/>
        <item m="1" x="137"/>
        <item m="1" x="17"/>
        <item m="1" x="41"/>
        <item m="1" x="77"/>
        <item m="1" x="101"/>
        <item m="1" x="125"/>
        <item m="1" x="149"/>
        <item m="1" x="29"/>
        <item m="1" x="53"/>
        <item m="1" x="66"/>
        <item m="1" x="90"/>
        <item m="1" x="114"/>
        <item m="1" x="138"/>
        <item m="1" x="18"/>
        <item m="1" x="42"/>
        <item m="1" x="78"/>
        <item m="1" x="102"/>
        <item m="1" x="126"/>
        <item m="1" x="150"/>
        <item m="1" x="30"/>
        <item m="1" x="54"/>
        <item m="1" x="67"/>
        <item m="1" x="91"/>
        <item m="1" x="115"/>
        <item m="1" x="139"/>
        <item m="1" x="19"/>
        <item m="1" x="43"/>
        <item m="1" x="79"/>
        <item m="1" x="103"/>
        <item m="1" x="127"/>
        <item m="1" x="151"/>
        <item m="1" x="31"/>
        <item m="1" x="55"/>
        <item m="1" x="69"/>
        <item m="1" x="93"/>
        <item m="1" x="117"/>
        <item m="1" x="141"/>
        <item m="1" x="21"/>
        <item m="1" x="45"/>
        <item m="1" x="80"/>
        <item m="1" x="104"/>
        <item m="1" x="128"/>
        <item m="1" x="152"/>
        <item m="1" x="32"/>
        <item m="1" x="5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tabSelected="1" workbookViewId="0">
      <selection activeCell="B22" sqref="B22"/>
    </sheetView>
  </sheetViews>
  <sheetFormatPr defaultColWidth="8.7109375" defaultRowHeight="12.75" x14ac:dyDescent="0.2"/>
  <cols>
    <col min="1" max="16384" width="8.7109375" style="1"/>
  </cols>
  <sheetData>
    <row r="1" spans="1:2" x14ac:dyDescent="0.2">
      <c r="A1" s="1" t="s">
        <v>64</v>
      </c>
    </row>
    <row r="3" spans="1:2" x14ac:dyDescent="0.2">
      <c r="A3" s="2">
        <v>1</v>
      </c>
      <c r="B3" s="3" t="s">
        <v>66</v>
      </c>
    </row>
    <row r="4" spans="1:2" x14ac:dyDescent="0.2">
      <c r="A4" s="2">
        <v>2</v>
      </c>
      <c r="B4" s="3" t="s">
        <v>65</v>
      </c>
    </row>
    <row r="5" spans="1:2" x14ac:dyDescent="0.2">
      <c r="A5" s="2">
        <v>3</v>
      </c>
      <c r="B5" s="3" t="s">
        <v>67</v>
      </c>
    </row>
    <row r="6" spans="1:2" x14ac:dyDescent="0.2">
      <c r="A6" s="2">
        <v>4</v>
      </c>
      <c r="B6" s="4" t="s">
        <v>81</v>
      </c>
    </row>
    <row r="7" spans="1:2" x14ac:dyDescent="0.2">
      <c r="A7" s="2">
        <v>5</v>
      </c>
      <c r="B7" s="3" t="s">
        <v>68</v>
      </c>
    </row>
    <row r="8" spans="1:2" x14ac:dyDescent="0.2">
      <c r="A8" s="2">
        <v>6</v>
      </c>
      <c r="B8" s="3" t="s">
        <v>69</v>
      </c>
    </row>
    <row r="9" spans="1:2" x14ac:dyDescent="0.2">
      <c r="A9" s="2">
        <v>7</v>
      </c>
      <c r="B9" s="5" t="s">
        <v>70</v>
      </c>
    </row>
    <row r="10" spans="1:2" x14ac:dyDescent="0.2">
      <c r="A10" s="2">
        <v>8</v>
      </c>
      <c r="B10" s="3" t="s">
        <v>73</v>
      </c>
    </row>
    <row r="11" spans="1:2" x14ac:dyDescent="0.2">
      <c r="A11" s="2"/>
      <c r="B11" s="3" t="s">
        <v>74</v>
      </c>
    </row>
    <row r="12" spans="1:2" x14ac:dyDescent="0.2">
      <c r="A12" s="2"/>
      <c r="B12" s="5" t="s">
        <v>75</v>
      </c>
    </row>
    <row r="13" spans="1:2" x14ac:dyDescent="0.2">
      <c r="A13" s="2"/>
      <c r="B13" s="5" t="s">
        <v>76</v>
      </c>
    </row>
    <row r="14" spans="1:2" x14ac:dyDescent="0.2">
      <c r="A14" s="2">
        <v>9</v>
      </c>
      <c r="B14" s="3" t="s">
        <v>77</v>
      </c>
    </row>
    <row r="15" spans="1:2" x14ac:dyDescent="0.2">
      <c r="A15" s="2">
        <v>10</v>
      </c>
      <c r="B15" s="3" t="s">
        <v>79</v>
      </c>
    </row>
    <row r="16" spans="1:2" x14ac:dyDescent="0.2">
      <c r="A16" s="2">
        <v>11</v>
      </c>
      <c r="B16" s="3" t="s">
        <v>80</v>
      </c>
    </row>
    <row r="17" spans="1:1" x14ac:dyDescent="0.2">
      <c r="A17" s="2"/>
    </row>
  </sheetData>
  <phoneticPr fontId="6" type="noConversion"/>
  <pageMargins left="0.75" right="0.75" top="1" bottom="1" header="0.5" footer="0.5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44"/>
  <sheetViews>
    <sheetView zoomScale="85" zoomScaleNormal="85" zoomScaleSheetLayoutView="100" workbookViewId="0">
      <selection activeCell="G22" sqref="G22"/>
    </sheetView>
  </sheetViews>
  <sheetFormatPr defaultColWidth="33.28515625" defaultRowHeight="12.75" x14ac:dyDescent="0.2"/>
  <cols>
    <col min="1" max="1" width="9.140625" style="1" customWidth="1"/>
    <col min="2" max="2" width="14" style="1" customWidth="1"/>
    <col min="3" max="3" width="21.85546875" style="1" customWidth="1"/>
    <col min="4" max="4" width="15.5703125" style="1" customWidth="1"/>
    <col min="5" max="16" width="14" style="1" customWidth="1"/>
    <col min="17" max="17" width="15" style="1" customWidth="1"/>
    <col min="18" max="110" width="31.7109375" style="1" customWidth="1"/>
    <col min="111" max="111" width="11.42578125" style="1" customWidth="1"/>
    <col min="112" max="16384" width="33.28515625" style="1"/>
  </cols>
  <sheetData>
    <row r="1" spans="2:19" x14ac:dyDescent="0.2">
      <c r="C1" s="251" t="str">
        <f>+Transactions!B1</f>
        <v>AEPTCo Formula Rate -- FERC Docket ER18-194</v>
      </c>
      <c r="D1" s="251"/>
      <c r="E1" s="251"/>
      <c r="F1" s="251"/>
      <c r="G1" s="251"/>
      <c r="H1" s="251"/>
      <c r="I1" s="251"/>
      <c r="L1" s="6">
        <v>2023</v>
      </c>
    </row>
    <row r="2" spans="2:19" x14ac:dyDescent="0.2">
      <c r="C2" s="251" t="s">
        <v>101</v>
      </c>
      <c r="D2" s="251"/>
      <c r="E2" s="251"/>
      <c r="F2" s="251"/>
      <c r="G2" s="251"/>
      <c r="H2" s="251"/>
      <c r="I2" s="251"/>
    </row>
    <row r="3" spans="2:19" x14ac:dyDescent="0.2">
      <c r="C3" s="251" t="str">
        <f>"for period 01/01/"&amp;F8&amp;" - 12/31/"&amp;F8</f>
        <v>for period 01/01/2022 - 12/31/2022</v>
      </c>
      <c r="D3" s="251"/>
      <c r="E3" s="251"/>
      <c r="F3" s="251"/>
      <c r="G3" s="251"/>
      <c r="H3" s="251"/>
      <c r="I3" s="251"/>
    </row>
    <row r="4" spans="2:19" x14ac:dyDescent="0.2">
      <c r="C4" s="251" t="s">
        <v>83</v>
      </c>
      <c r="D4" s="251"/>
      <c r="E4" s="251"/>
      <c r="F4" s="251"/>
      <c r="G4" s="251"/>
      <c r="H4" s="251"/>
      <c r="I4" s="251"/>
    </row>
    <row r="5" spans="2:19" x14ac:dyDescent="0.2">
      <c r="C5" s="7" t="str">
        <f>"Prepared:  May 24_, "&amp;L1&amp;""</f>
        <v>Prepared:  May 24_, 2023</v>
      </c>
      <c r="D5" s="8"/>
    </row>
    <row r="6" spans="2:19" x14ac:dyDescent="0.2">
      <c r="C6" s="9"/>
    </row>
    <row r="7" spans="2:19" x14ac:dyDescent="0.2">
      <c r="C7" s="10"/>
    </row>
    <row r="8" spans="2:19" ht="27.75" customHeight="1" thickBot="1" x14ac:dyDescent="0.25">
      <c r="F8" s="11">
        <v>2022</v>
      </c>
    </row>
    <row r="9" spans="2:19" ht="20.25" customHeight="1" x14ac:dyDescent="0.2">
      <c r="E9" s="12" t="s">
        <v>95</v>
      </c>
      <c r="F9" s="13"/>
      <c r="G9" s="14"/>
      <c r="H9" s="15"/>
      <c r="L9" s="2"/>
    </row>
    <row r="10" spans="2:19" ht="42" customHeight="1" thickBot="1" x14ac:dyDescent="0.25">
      <c r="B10" s="16"/>
      <c r="E10" s="17" t="str">
        <f>"(per "&amp;$F8&amp;" Projections "&amp;$F8&amp;")"</f>
        <v>(per 2022 Projections 2022)</v>
      </c>
      <c r="F10" s="18" t="str">
        <f>"(per "&amp;F8+1&amp;" Update of May "&amp;F8+1&amp;")"</f>
        <v>(per 2023 Update of May 2023)</v>
      </c>
      <c r="G10" s="19"/>
      <c r="H10" s="20"/>
    </row>
    <row r="11" spans="2:19" ht="21.75" customHeight="1" x14ac:dyDescent="0.2">
      <c r="B11" s="21"/>
      <c r="C11" s="22" t="s">
        <v>38</v>
      </c>
      <c r="D11" s="23" t="s">
        <v>36</v>
      </c>
      <c r="E11" s="24">
        <f>Transactions!K2</f>
        <v>55</v>
      </c>
      <c r="F11" s="25"/>
      <c r="G11" s="26"/>
      <c r="H11" s="27"/>
    </row>
    <row r="12" spans="2:19" ht="21.75" customHeight="1" x14ac:dyDescent="0.2">
      <c r="B12" s="21"/>
      <c r="C12" s="28"/>
      <c r="D12" s="29" t="s">
        <v>42</v>
      </c>
      <c r="E12" s="30"/>
      <c r="F12" s="31">
        <f>+Transactions!J2</f>
        <v>44.8625288</v>
      </c>
      <c r="G12" s="32"/>
      <c r="H12" s="33"/>
      <c r="K12" s="34"/>
    </row>
    <row r="13" spans="2:19" ht="21.75" customHeight="1" x14ac:dyDescent="0.2">
      <c r="B13" s="35"/>
      <c r="C13" s="36" t="s">
        <v>39</v>
      </c>
      <c r="D13" s="37" t="s">
        <v>37</v>
      </c>
      <c r="E13" s="38">
        <f>Transactions!K3</f>
        <v>5.6216525614293303E-4</v>
      </c>
      <c r="F13" s="33"/>
      <c r="G13" s="39"/>
      <c r="H13" s="40"/>
      <c r="K13" s="41"/>
    </row>
    <row r="14" spans="2:19" ht="21.75" customHeight="1" thickBot="1" x14ac:dyDescent="0.25">
      <c r="B14" s="16"/>
      <c r="C14" s="42"/>
      <c r="D14" s="43" t="s">
        <v>41</v>
      </c>
      <c r="E14" s="44"/>
      <c r="F14" s="45">
        <f>+Transactions!J3</f>
        <v>4.2858466888302956E-4</v>
      </c>
      <c r="G14" s="46"/>
      <c r="H14" s="33"/>
      <c r="K14" s="34"/>
    </row>
    <row r="15" spans="2:19" x14ac:dyDescent="0.2">
      <c r="B15" s="21"/>
      <c r="E15" s="47"/>
      <c r="K15" s="41"/>
    </row>
    <row r="16" spans="2:19" x14ac:dyDescent="0.2">
      <c r="B16" s="35"/>
      <c r="C16" s="35"/>
      <c r="D16" s="48"/>
      <c r="E16" s="35"/>
      <c r="F16" s="49"/>
      <c r="G16" s="50"/>
      <c r="H16" s="50"/>
      <c r="K16" s="51"/>
      <c r="L16" s="47"/>
      <c r="N16" s="52"/>
      <c r="O16" s="53"/>
      <c r="P16" s="53"/>
      <c r="Q16" s="53"/>
      <c r="R16" s="53"/>
      <c r="S16" s="53"/>
    </row>
    <row r="17" spans="2:19" x14ac:dyDescent="0.2">
      <c r="C17" s="10"/>
      <c r="K17" s="41"/>
      <c r="N17" s="54"/>
      <c r="O17" s="53"/>
      <c r="P17" s="53"/>
      <c r="Q17" s="53"/>
      <c r="R17" s="53"/>
      <c r="S17" s="53"/>
    </row>
    <row r="18" spans="2:19" x14ac:dyDescent="0.2">
      <c r="C18" s="52"/>
      <c r="D18" s="52"/>
      <c r="E18" s="52"/>
      <c r="F18" s="52"/>
      <c r="G18" s="52"/>
      <c r="H18" s="52"/>
      <c r="I18" s="52"/>
      <c r="N18" s="52"/>
      <c r="O18" s="53"/>
      <c r="P18" s="53"/>
      <c r="Q18" s="53"/>
      <c r="R18" s="53"/>
      <c r="S18" s="53"/>
    </row>
    <row r="19" spans="2:19" ht="21" customHeight="1" thickBot="1" x14ac:dyDescent="0.25">
      <c r="C19" s="55" t="s">
        <v>31</v>
      </c>
      <c r="D19" s="55" t="s">
        <v>32</v>
      </c>
      <c r="E19" s="56" t="s">
        <v>33</v>
      </c>
      <c r="F19" s="56" t="s">
        <v>34</v>
      </c>
      <c r="G19" s="55" t="s">
        <v>35</v>
      </c>
      <c r="H19" s="55" t="s">
        <v>94</v>
      </c>
      <c r="I19" s="56" t="s">
        <v>93</v>
      </c>
      <c r="J19" s="57" t="s">
        <v>96</v>
      </c>
      <c r="K19" s="58" t="s">
        <v>97</v>
      </c>
      <c r="N19" s="52"/>
      <c r="O19" s="53"/>
      <c r="P19" s="53"/>
      <c r="Q19" s="53"/>
      <c r="R19" s="53"/>
      <c r="S19" s="53"/>
    </row>
    <row r="20" spans="2:19" ht="53.25" customHeight="1" x14ac:dyDescent="0.2">
      <c r="C20" s="59" t="s">
        <v>51</v>
      </c>
      <c r="D20" s="60" t="str">
        <f>"Actual Charge
("&amp;F8&amp;" True-Up)"</f>
        <v>Actual Charge
(2022 True-Up)</v>
      </c>
      <c r="E20" s="61" t="str">
        <f>"Invoiced for
CY"&amp;F8&amp;" Transmission Service"</f>
        <v>Invoiced for
CY2022 Transmission Service</v>
      </c>
      <c r="F20" s="60" t="s">
        <v>40</v>
      </c>
      <c r="G20" s="62" t="s">
        <v>7</v>
      </c>
      <c r="H20" s="62" t="s">
        <v>88</v>
      </c>
      <c r="I20" s="63" t="s">
        <v>45</v>
      </c>
      <c r="J20" s="64" t="s">
        <v>98</v>
      </c>
      <c r="K20" s="65" t="s">
        <v>100</v>
      </c>
      <c r="N20" s="52"/>
      <c r="O20" s="53"/>
      <c r="P20" s="53"/>
      <c r="Q20" s="53"/>
      <c r="R20" s="53"/>
      <c r="S20" s="53"/>
    </row>
    <row r="21" spans="2:19" x14ac:dyDescent="0.2">
      <c r="B21" s="66"/>
      <c r="C21" s="67" t="s">
        <v>14</v>
      </c>
      <c r="D21" s="68">
        <f>GETPIVOTDATA("Sum of "&amp;T(Transactions!$J$19),Pivot!$A$3,"Customer",C21)</f>
        <v>4.2537028386640676</v>
      </c>
      <c r="E21" s="68">
        <f>GETPIVOTDATA("Sum of "&amp;T(Transactions!$K$19),Pivot!$A$3,"Customer",C21)</f>
        <v>5.5794901672186112</v>
      </c>
      <c r="F21" s="68">
        <f>D21-E21</f>
        <v>-1.3257873285545436</v>
      </c>
      <c r="G21" s="53">
        <f>+GETPIVOTDATA("Sum of "&amp;T(Transactions!$M$19),Pivot!$A$3,"Customer","AECC")</f>
        <v>-5.4749937884396367E-2</v>
      </c>
      <c r="H21" s="53">
        <f>GETPIVOTDATA("Sum of "&amp;T(Transactions!$Q$19),Pivot!$A$3,"Customer","AECC")</f>
        <v>0</v>
      </c>
      <c r="I21" s="69">
        <f>F21+G21-H21</f>
        <v>-1.3805372664389399</v>
      </c>
      <c r="J21" s="70"/>
      <c r="K21" s="71">
        <f>I21+J21</f>
        <v>-1.3805372664389399</v>
      </c>
      <c r="L21" s="66"/>
      <c r="N21" s="52"/>
      <c r="O21" s="53"/>
      <c r="P21" s="53"/>
      <c r="Q21" s="53"/>
      <c r="R21" s="53"/>
      <c r="S21" s="53"/>
    </row>
    <row r="22" spans="2:19" x14ac:dyDescent="0.2">
      <c r="B22" s="66"/>
      <c r="C22" s="72" t="s">
        <v>85</v>
      </c>
      <c r="D22" s="68">
        <f>GETPIVOTDATA("Sum of "&amp;T(Transactions!$J$19),Pivot!$A$3,"Customer",C22)</f>
        <v>0.2335786445412511</v>
      </c>
      <c r="E22" s="68">
        <f>GETPIVOTDATA("Sum of "&amp;T(Transactions!$K$19),Pivot!$A$3,"Customer",C22)</f>
        <v>0.30638006459789852</v>
      </c>
      <c r="F22" s="68">
        <f>D22-E22</f>
        <v>-7.2801420056647415E-2</v>
      </c>
      <c r="G22" s="53">
        <f>+GETPIVOTDATA("Sum of "&amp;T(Transactions!$M$19),Pivot!$A$3,"Customer","AECI")</f>
        <v>-3.0064197629215135E-3</v>
      </c>
      <c r="H22" s="53">
        <f>GETPIVOTDATA("Sum of "&amp;T(Transactions!$Q$19),Pivot!$A$3,"Customer",C22)</f>
        <v>0</v>
      </c>
      <c r="I22" s="69">
        <f t="shared" ref="I22:I33" si="0">F22+G22-H22</f>
        <v>-7.5807839819568928E-2</v>
      </c>
      <c r="J22" s="70"/>
      <c r="K22" s="71">
        <f t="shared" ref="K22:K39" si="1">I22+J22</f>
        <v>-7.5807839819568928E-2</v>
      </c>
      <c r="L22" s="66"/>
      <c r="N22" s="52"/>
      <c r="O22" s="53"/>
      <c r="P22" s="53"/>
      <c r="Q22" s="53"/>
      <c r="R22" s="53"/>
      <c r="S22" s="53"/>
    </row>
    <row r="23" spans="2:19" x14ac:dyDescent="0.2">
      <c r="B23" s="66"/>
      <c r="C23" s="72" t="s">
        <v>55</v>
      </c>
      <c r="D23" s="68">
        <f>GETPIVOTDATA("Sum of "&amp;T(Transactions!$J$19),Pivot!$A$3,"Customer",C23)</f>
        <v>0.66216331342428059</v>
      </c>
      <c r="E23" s="68">
        <f>GETPIVOTDATA("Sum of "&amp;T(Transactions!$K$19),Pivot!$A$3,"Customer",C23)</f>
        <v>0.86854532074083146</v>
      </c>
      <c r="F23" s="68">
        <f t="shared" ref="F23:F35" si="2">D23-E23</f>
        <v>-0.20638200731655088</v>
      </c>
      <c r="G23" s="53">
        <f>+GETPIVOTDATA("Sum of "&amp;T(Transactions!$M$19),Pivot!$A$3,"Customer","Bentonville, AR")</f>
        <v>-8.5227863003921808E-3</v>
      </c>
      <c r="H23" s="53">
        <f>GETPIVOTDATA("Sum of "&amp;T(Transactions!$Q$19),Pivot!$A$3,"Customer",C23)</f>
        <v>0</v>
      </c>
      <c r="I23" s="69">
        <f t="shared" si="0"/>
        <v>-0.21490479361694306</v>
      </c>
      <c r="J23" s="70"/>
      <c r="K23" s="71">
        <f t="shared" si="1"/>
        <v>-0.21490479361694306</v>
      </c>
      <c r="L23" s="66"/>
      <c r="N23" s="52"/>
      <c r="O23" s="53"/>
      <c r="P23" s="53"/>
      <c r="Q23" s="53"/>
      <c r="R23" s="53"/>
      <c r="S23" s="53"/>
    </row>
    <row r="24" spans="2:19" x14ac:dyDescent="0.2">
      <c r="B24" s="66"/>
      <c r="C24" s="67" t="s">
        <v>17</v>
      </c>
      <c r="D24" s="68">
        <f>GETPIVOTDATA("Sum of "&amp;T(Transactions!$J$19),Pivot!$A$3,"Customer",C24)</f>
        <v>0.48515784517558946</v>
      </c>
      <c r="E24" s="68">
        <f>GETPIVOTDATA("Sum of "&amp;T(Transactions!$K$19),Pivot!$A$3,"Customer",C24)</f>
        <v>0.63637106995380011</v>
      </c>
      <c r="F24" s="68">
        <f t="shared" si="2"/>
        <v>-0.15121322477821064</v>
      </c>
      <c r="G24" s="53">
        <f>+GETPIVOTDATA("Sum of "&amp;T(Transactions!$M$19),Pivot!$A$3,"Customer","Coffeyville, KS")</f>
        <v>-6.244526920416796E-3</v>
      </c>
      <c r="H24" s="53">
        <f>GETPIVOTDATA("Sum of "&amp;T(Transactions!$Q$19),Pivot!$A$3,"Customer",C24)</f>
        <v>0</v>
      </c>
      <c r="I24" s="69">
        <f t="shared" si="0"/>
        <v>-0.15745775169862744</v>
      </c>
      <c r="J24" s="70"/>
      <c r="K24" s="71">
        <f t="shared" si="1"/>
        <v>-0.15745775169862744</v>
      </c>
      <c r="L24" s="66"/>
      <c r="N24" s="52"/>
      <c r="O24" s="53"/>
      <c r="P24" s="53"/>
      <c r="Q24" s="53"/>
      <c r="R24" s="53"/>
      <c r="S24" s="53"/>
    </row>
    <row r="25" spans="2:19" x14ac:dyDescent="0.2">
      <c r="B25" s="66"/>
      <c r="C25" s="72" t="s">
        <v>13</v>
      </c>
      <c r="D25" s="68">
        <f>GETPIVOTDATA("Sum of "&amp;T(Transactions!$J$19),Pivot!$A$3,"Customer",C25)</f>
        <v>4.7247173897665178</v>
      </c>
      <c r="E25" s="68">
        <f>GETPIVOTDATA("Sum of "&amp;T(Transactions!$K$19),Pivot!$A$3,"Customer",C25)</f>
        <v>6.1973097837196933</v>
      </c>
      <c r="F25" s="68">
        <f t="shared" si="2"/>
        <v>-1.4725923939531755</v>
      </c>
      <c r="G25" s="53">
        <f>+GETPIVOTDATA("Sum of "&amp;T(Transactions!$M$19),Pivot!$A$3,"Customer","ETEC")</f>
        <v>-6.0812424709076635E-2</v>
      </c>
      <c r="H25" s="53">
        <f>GETPIVOTDATA("Sum of "&amp;T(Transactions!$Q$19),Pivot!$A$3,"Customer",C25)</f>
        <v>0</v>
      </c>
      <c r="I25" s="69">
        <f t="shared" si="0"/>
        <v>-1.5334048186622522</v>
      </c>
      <c r="J25" s="70"/>
      <c r="K25" s="71">
        <f t="shared" si="1"/>
        <v>-1.5334048186622522</v>
      </c>
      <c r="L25" s="66"/>
      <c r="N25" s="54"/>
      <c r="O25" s="53"/>
      <c r="P25" s="53"/>
      <c r="Q25" s="53"/>
      <c r="R25" s="53"/>
      <c r="S25" s="53"/>
    </row>
    <row r="26" spans="2:19" x14ac:dyDescent="0.2">
      <c r="B26" s="66"/>
      <c r="C26" s="67" t="s">
        <v>15</v>
      </c>
      <c r="D26" s="68">
        <f>GETPIVOTDATA("Sum of "&amp;T(Transactions!$J$19),Pivot!$A$3,"Customer",C26)</f>
        <v>4.8858652252665363E-2</v>
      </c>
      <c r="E26" s="68">
        <f>GETPIVOTDATA("Sum of "&amp;T(Transactions!$K$19),Pivot!$A$3,"Customer",C26)</f>
        <v>6.4086839200294371E-2</v>
      </c>
      <c r="F26" s="68">
        <f t="shared" si="2"/>
        <v>-1.5228186947629008E-2</v>
      </c>
      <c r="G26" s="53">
        <f>+GETPIVOTDATA("Sum of "&amp;T(Transactions!$M$19),Pivot!$A$3,"Customer","Greenbelt")</f>
        <v>-6.2886578527165601E-4</v>
      </c>
      <c r="H26" s="53">
        <f>GETPIVOTDATA("Sum of "&amp;T(Transactions!$Q$19),Pivot!$A$3,"Customer",C26)</f>
        <v>0</v>
      </c>
      <c r="I26" s="69">
        <f t="shared" si="0"/>
        <v>-1.5857052732900664E-2</v>
      </c>
      <c r="J26" s="70"/>
      <c r="K26" s="71">
        <f t="shared" si="1"/>
        <v>-1.5857052732900664E-2</v>
      </c>
      <c r="L26" s="66"/>
      <c r="M26" s="73"/>
      <c r="N26" s="73"/>
      <c r="O26" s="73"/>
      <c r="P26" s="73"/>
      <c r="Q26" s="53"/>
      <c r="R26" s="53"/>
      <c r="S26" s="53"/>
    </row>
    <row r="27" spans="2:19" x14ac:dyDescent="0.2">
      <c r="B27" s="66"/>
      <c r="C27" s="67" t="s">
        <v>58</v>
      </c>
      <c r="D27" s="68">
        <f>GETPIVOTDATA("Sum of "&amp;T(Transactions!$J$19),Pivot!$A$3,"Customer",C27)</f>
        <v>0.2014347943750239</v>
      </c>
      <c r="E27" s="68">
        <f>GETPIVOTDATA("Sum of "&amp;T(Transactions!$K$19),Pivot!$A$3,"Customer",C27)</f>
        <v>0.26421767038717853</v>
      </c>
      <c r="F27" s="68">
        <f t="shared" si="2"/>
        <v>-6.2782876012154626E-2</v>
      </c>
      <c r="G27" s="53">
        <f>+GETPIVOTDATA("Sum of "&amp;T(Transactions!$M$19),Pivot!$A$3,"Customer","Hope, AR")</f>
        <v>-2.5926922726112133E-3</v>
      </c>
      <c r="H27" s="53">
        <f>GETPIVOTDATA("Sum of "&amp;T(Transactions!$Q$19),Pivot!$A$3,"Customer",C27)</f>
        <v>0</v>
      </c>
      <c r="I27" s="69">
        <f t="shared" si="0"/>
        <v>-6.5375568284765845E-2</v>
      </c>
      <c r="J27" s="70"/>
      <c r="K27" s="71">
        <f t="shared" si="1"/>
        <v>-6.5375568284765845E-2</v>
      </c>
      <c r="L27" s="66"/>
      <c r="M27" s="73"/>
      <c r="N27" s="73"/>
      <c r="O27" s="73"/>
      <c r="P27" s="73"/>
      <c r="Q27" s="53"/>
      <c r="R27" s="53"/>
      <c r="S27" s="53"/>
    </row>
    <row r="28" spans="2:19" x14ac:dyDescent="0.2">
      <c r="B28" s="66"/>
      <c r="C28" s="67" t="s">
        <v>16</v>
      </c>
      <c r="D28" s="68">
        <f>GETPIVOTDATA("Sum of "&amp;T(Transactions!$J$19),Pivot!$A$3,"Customer",C28)</f>
        <v>1.7143386755321184E-2</v>
      </c>
      <c r="E28" s="68">
        <f>GETPIVOTDATA("Sum of "&amp;T(Transactions!$K$19),Pivot!$A$3,"Customer",C28)</f>
        <v>2.2486610245717322E-2</v>
      </c>
      <c r="F28" s="68">
        <f t="shared" si="2"/>
        <v>-5.343223490396138E-3</v>
      </c>
      <c r="G28" s="53">
        <f>+GETPIVOTDATA("Sum of "&amp;T(Transactions!$M$19),Pivot!$A$3,"Customer","Lighthouse")</f>
        <v>-2.2065466149882667E-4</v>
      </c>
      <c r="H28" s="53">
        <f>GETPIVOTDATA("Sum of "&amp;T(Transactions!$Q$19),Pivot!$A$3,"Customer",C28)</f>
        <v>0</v>
      </c>
      <c r="I28" s="69">
        <f t="shared" si="0"/>
        <v>-5.5638781518949649E-3</v>
      </c>
      <c r="J28" s="70"/>
      <c r="K28" s="71">
        <f t="shared" si="1"/>
        <v>-5.5638781518949649E-3</v>
      </c>
      <c r="L28" s="66"/>
      <c r="N28" s="52"/>
      <c r="O28" s="53"/>
      <c r="P28" s="53"/>
      <c r="Q28" s="53"/>
      <c r="R28" s="53"/>
      <c r="S28" s="53"/>
    </row>
    <row r="29" spans="2:19" x14ac:dyDescent="0.2">
      <c r="B29" s="66"/>
      <c r="C29" s="72" t="s">
        <v>57</v>
      </c>
      <c r="D29" s="68">
        <f>GETPIVOTDATA("Sum of "&amp;T(Transactions!$J$19),Pivot!$A$3,"Customer",C29)</f>
        <v>0.14271869473804885</v>
      </c>
      <c r="E29" s="68">
        <f>GETPIVOTDATA("Sum of "&amp;T(Transactions!$K$19),Pivot!$A$3,"Customer",C29)</f>
        <v>0.1872010302955967</v>
      </c>
      <c r="F29" s="68">
        <f t="shared" si="2"/>
        <v>-4.4482335557547853E-2</v>
      </c>
      <c r="G29" s="53">
        <f>+GETPIVOTDATA("Sum of "&amp;T(Transactions!$M$19),Pivot!$A$3,"Customer","Minden, LA")</f>
        <v>-1.8369500569777322E-3</v>
      </c>
      <c r="H29" s="53">
        <f>GETPIVOTDATA("Sum of "&amp;T(Transactions!$Q$19),Pivot!$A$3,"Customer",C29)</f>
        <v>0</v>
      </c>
      <c r="I29" s="69">
        <f t="shared" si="0"/>
        <v>-4.6319285614525585E-2</v>
      </c>
      <c r="J29" s="70"/>
      <c r="K29" s="71">
        <f t="shared" si="1"/>
        <v>-4.6319285614525585E-2</v>
      </c>
      <c r="L29" s="66"/>
      <c r="N29" s="52"/>
      <c r="O29" s="53"/>
      <c r="P29" s="53"/>
      <c r="Q29" s="53"/>
      <c r="R29" s="53"/>
      <c r="S29" s="53"/>
    </row>
    <row r="30" spans="2:19" x14ac:dyDescent="0.2">
      <c r="B30" s="66"/>
      <c r="C30" s="72" t="s">
        <v>19</v>
      </c>
      <c r="D30" s="68">
        <f>GETPIVOTDATA("Sum of "&amp;T(Transactions!$J$19),Pivot!$A$3,"Customer",C30)</f>
        <v>0.27257984940960678</v>
      </c>
      <c r="E30" s="68">
        <f>GETPIVOTDATA("Sum of "&amp;T(Transactions!$K$19),Pivot!$A$3,"Customer",C30)</f>
        <v>0.35753710290690538</v>
      </c>
      <c r="F30" s="68">
        <f t="shared" si="2"/>
        <v>-8.4957253497298602E-2</v>
      </c>
      <c r="G30" s="53">
        <f>+GETPIVOTDATA("Sum of "&amp;T(Transactions!$M$19),Pivot!$A$3,"Customer","OG&amp;E")</f>
        <v>-3.5084091178313442E-3</v>
      </c>
      <c r="H30" s="53">
        <f>GETPIVOTDATA("Sum of "&amp;T(Transactions!$Q$19),Pivot!$A$3,"Customer",C30)</f>
        <v>0</v>
      </c>
      <c r="I30" s="69">
        <f t="shared" si="0"/>
        <v>-8.8465662615129947E-2</v>
      </c>
      <c r="J30" s="70"/>
      <c r="K30" s="71">
        <f t="shared" si="1"/>
        <v>-8.8465662615129947E-2</v>
      </c>
      <c r="L30" s="66"/>
    </row>
    <row r="31" spans="2:19" x14ac:dyDescent="0.2">
      <c r="B31" s="66"/>
      <c r="C31" s="67" t="s">
        <v>8</v>
      </c>
      <c r="D31" s="68">
        <f>GETPIVOTDATA("Sum of "&amp;T(Transactions!$J$19),Pivot!$A$3,"Customer",C31)</f>
        <v>0.56016016223011966</v>
      </c>
      <c r="E31" s="68">
        <f>GETPIVOTDATA("Sum of "&amp;T(Transactions!$K$19),Pivot!$A$3,"Customer",C31)</f>
        <v>0.73474998977881345</v>
      </c>
      <c r="F31" s="68">
        <f t="shared" si="2"/>
        <v>-0.17458982754869379</v>
      </c>
      <c r="G31" s="53">
        <f>+GETPIVOTDATA("Sum of "&amp;T(Transactions!$M$19),Pivot!$A$3,"Customer","OMPA")</f>
        <v>-7.2098910644741634E-3</v>
      </c>
      <c r="H31" s="53">
        <f>GETPIVOTDATA("Sum of "&amp;T(Transactions!$Q$19),Pivot!$A$3,"Customer",C31)</f>
        <v>0</v>
      </c>
      <c r="I31" s="69">
        <f t="shared" si="0"/>
        <v>-0.18179971861316796</v>
      </c>
      <c r="J31" s="70"/>
      <c r="K31" s="71">
        <f t="shared" si="1"/>
        <v>-0.18179971861316796</v>
      </c>
      <c r="L31" s="66"/>
    </row>
    <row r="32" spans="2:19" x14ac:dyDescent="0.2">
      <c r="B32" s="66"/>
      <c r="C32" s="67" t="s">
        <v>56</v>
      </c>
      <c r="D32" s="68">
        <f>GETPIVOTDATA("Sum of "&amp;T(Transactions!$J$19),Pivot!$A$3,"Customer",C32)</f>
        <v>5.6144591623676875E-2</v>
      </c>
      <c r="E32" s="68">
        <f>GETPIVOTDATA("Sum of "&amp;T(Transactions!$K$19),Pivot!$A$3,"Customer",C32)</f>
        <v>7.3643648554724217E-2</v>
      </c>
      <c r="F32" s="68">
        <f t="shared" si="2"/>
        <v>-1.7499056931047342E-2</v>
      </c>
      <c r="G32" s="53">
        <f>+GETPIVOTDATA("Sum of "&amp;T(Transactions!$M$19),Pivot!$A$3,"Customer","Prescott, AR")</f>
        <v>-7.2264401640865746E-4</v>
      </c>
      <c r="H32" s="53">
        <f>GETPIVOTDATA("Sum of "&amp;T(Transactions!$Q$19),Pivot!$A$3,"Customer",C32)</f>
        <v>0</v>
      </c>
      <c r="I32" s="69">
        <f t="shared" si="0"/>
        <v>-1.8221700947455999E-2</v>
      </c>
      <c r="J32" s="70"/>
      <c r="K32" s="71">
        <f t="shared" si="1"/>
        <v>-1.8221700947455999E-2</v>
      </c>
      <c r="L32" s="66"/>
    </row>
    <row r="33" spans="2:13" x14ac:dyDescent="0.2">
      <c r="B33" s="66"/>
      <c r="C33" s="74" t="s">
        <v>9</v>
      </c>
      <c r="D33" s="68">
        <f>GETPIVOTDATA("Sum of "&amp;T(Transactions!$J$19),Pivot!$A$3,"Customer",C33)</f>
        <v>0.24086458391226262</v>
      </c>
      <c r="E33" s="68">
        <f>GETPIVOTDATA("Sum of "&amp;T(Transactions!$K$19),Pivot!$A$3,"Customer",C33)</f>
        <v>0.31593687395232839</v>
      </c>
      <c r="F33" s="68">
        <f t="shared" si="2"/>
        <v>-7.507229004006577E-2</v>
      </c>
      <c r="G33" s="53">
        <f>+GETPIVOTDATA("Sum of "&amp;T(Transactions!$M$19),Pivot!$A$3,"Customer","WFEC")</f>
        <v>-3.100197994058515E-3</v>
      </c>
      <c r="H33" s="53">
        <f>GETPIVOTDATA("Sum of "&amp;T(Transactions!$Q$19),Pivot!$A$3,"Customer",C33)</f>
        <v>0</v>
      </c>
      <c r="I33" s="69">
        <f t="shared" si="0"/>
        <v>-7.8172488034124285E-2</v>
      </c>
      <c r="J33" s="70"/>
      <c r="K33" s="71">
        <f t="shared" si="1"/>
        <v>-7.8172488034124285E-2</v>
      </c>
      <c r="L33" s="66"/>
    </row>
    <row r="34" spans="2:13" ht="24" x14ac:dyDescent="0.2">
      <c r="C34" s="75" t="s">
        <v>43</v>
      </c>
      <c r="D34" s="76">
        <f t="shared" ref="D34:J34" si="3">SUM(D21:D33)</f>
        <v>11.899224746868429</v>
      </c>
      <c r="E34" s="76">
        <f t="shared" si="3"/>
        <v>15.607956171552393</v>
      </c>
      <c r="F34" s="76">
        <f t="shared" si="3"/>
        <v>-3.7087314246839611</v>
      </c>
      <c r="G34" s="77">
        <f t="shared" si="3"/>
        <v>-0.15315640054633561</v>
      </c>
      <c r="H34" s="77">
        <f t="shared" si="3"/>
        <v>0</v>
      </c>
      <c r="I34" s="78">
        <f t="shared" si="3"/>
        <v>-3.8618878252302973</v>
      </c>
      <c r="J34" s="79">
        <f t="shared" si="3"/>
        <v>0</v>
      </c>
      <c r="K34" s="80">
        <f t="shared" si="1"/>
        <v>-3.8618878252302973</v>
      </c>
    </row>
    <row r="35" spans="2:13" x14ac:dyDescent="0.2">
      <c r="C35" s="81" t="s">
        <v>21</v>
      </c>
      <c r="D35" s="68">
        <f>GETPIVOTDATA("Sum of "&amp;T(Transactions!$J$19),Pivot!$A$3,"Customer",C35)</f>
        <v>16.603798657197448</v>
      </c>
      <c r="E35" s="68">
        <f>GETPIVOTDATA("Sum of "&amp;T(Transactions!$K$19),Pivot!$A$3,"Customer",C35)</f>
        <v>21.778844188233371</v>
      </c>
      <c r="F35" s="68">
        <f t="shared" si="2"/>
        <v>-5.1750455310359236</v>
      </c>
      <c r="G35" s="53">
        <f>+GETPIVOTDATA("Sum of "&amp;T(Transactions!$M$19),Pivot!$A$3,"Customer","PSO")</f>
        <v>-0.21370955602815114</v>
      </c>
      <c r="H35" s="53">
        <f>GETPIVOTDATA("Sum of "&amp;T(Transactions!$Q$19),Pivot!$A$3,"Customer",C35)</f>
        <v>0</v>
      </c>
      <c r="I35" s="69">
        <f>F35+G35-H35</f>
        <v>-5.3887550870640748</v>
      </c>
      <c r="J35" s="70"/>
      <c r="K35" s="71">
        <f t="shared" si="1"/>
        <v>-5.3887550870640748</v>
      </c>
    </row>
    <row r="36" spans="2:13" x14ac:dyDescent="0.2">
      <c r="C36" s="82" t="s">
        <v>22</v>
      </c>
      <c r="D36" s="68">
        <f>GETPIVOTDATA("Sum of "&amp;T(Transactions!$J$19),Pivot!$A$3,"Customer",C36)</f>
        <v>15.642911829561696</v>
      </c>
      <c r="E36" s="68">
        <f>GETPIVOTDATA("Sum of "&amp;T(Transactions!$K$19),Pivot!$A$3,"Customer",C36)</f>
        <v>20.518469683960916</v>
      </c>
      <c r="F36" s="68">
        <f>D36-E36</f>
        <v>-4.8755578543992204</v>
      </c>
      <c r="G36" s="53">
        <f>+GETPIVOTDATA("Sum of "&amp;T(Transactions!$M$19),Pivot!$A$3,"Customer","SWEPCO")</f>
        <v>-0.2013418622511419</v>
      </c>
      <c r="H36" s="53">
        <f>GETPIVOTDATA("Sum of "&amp;T(Transactions!$Q$19),Pivot!$A$3,"Customer",C36)</f>
        <v>0</v>
      </c>
      <c r="I36" s="69">
        <f>F36+G36-H36</f>
        <v>-5.0768997166503622</v>
      </c>
      <c r="J36" s="70"/>
      <c r="K36" s="71">
        <f t="shared" si="1"/>
        <v>-5.0768997166503622</v>
      </c>
    </row>
    <row r="37" spans="2:13" x14ac:dyDescent="0.2">
      <c r="C37" s="83" t="s">
        <v>82</v>
      </c>
      <c r="D37" s="68">
        <f>GETPIVOTDATA("Sum of "&amp;T(Transactions!$J$19),Pivot!$A$3,"Customer",C37)</f>
        <v>0.7157363970346593</v>
      </c>
      <c r="E37" s="68">
        <f>GETPIVOTDATA("Sum of "&amp;T(Transactions!$K$19),Pivot!$A$3,"Customer",C37)</f>
        <v>0.93881597775869807</v>
      </c>
      <c r="F37" s="68">
        <f>D37-E37</f>
        <v>-0.22307958072403877</v>
      </c>
      <c r="G37" s="53">
        <f>+GETPIVOTDATA("Sum of "&amp;T(Transactions!$M$19),Pivot!$A$3,"Customer","SWEPCO-Valley")</f>
        <v>-9.2123321175760133E-3</v>
      </c>
      <c r="H37" s="53">
        <f>GETPIVOTDATA("Sum of "&amp;T(Transactions!$Q$19),Pivot!$A$3,"Customer",C37)</f>
        <v>0</v>
      </c>
      <c r="I37" s="69">
        <f>F37+G37-H37</f>
        <v>-0.23229191284161479</v>
      </c>
      <c r="J37" s="70"/>
      <c r="K37" s="71">
        <f t="shared" si="1"/>
        <v>-0.23229191284161479</v>
      </c>
    </row>
    <row r="38" spans="2:13" ht="24" x14ac:dyDescent="0.2">
      <c r="C38" s="84" t="s">
        <v>52</v>
      </c>
      <c r="D38" s="85">
        <f t="shared" ref="D38:I38" si="4">SUM(D35:D37)</f>
        <v>32.962446883793802</v>
      </c>
      <c r="E38" s="85">
        <f t="shared" si="4"/>
        <v>43.236129849952988</v>
      </c>
      <c r="F38" s="85">
        <f t="shared" si="4"/>
        <v>-10.273682966159182</v>
      </c>
      <c r="G38" s="86">
        <f t="shared" si="4"/>
        <v>-0.42426375039686903</v>
      </c>
      <c r="H38" s="86">
        <f t="shared" si="4"/>
        <v>0</v>
      </c>
      <c r="I38" s="87">
        <f t="shared" si="4"/>
        <v>-10.697946716556052</v>
      </c>
      <c r="J38" s="88">
        <f>SUM(J35:J37)</f>
        <v>0</v>
      </c>
      <c r="K38" s="89">
        <f t="shared" si="1"/>
        <v>-10.697946716556052</v>
      </c>
    </row>
    <row r="39" spans="2:13" ht="23.25" customHeight="1" thickBot="1" x14ac:dyDescent="0.25">
      <c r="C39" s="90" t="s">
        <v>44</v>
      </c>
      <c r="D39" s="91">
        <f t="shared" ref="D39:I39" si="5">SUM(D34,D38)</f>
        <v>44.861671630662229</v>
      </c>
      <c r="E39" s="92">
        <f t="shared" si="5"/>
        <v>58.844086021505383</v>
      </c>
      <c r="F39" s="91">
        <f t="shared" si="5"/>
        <v>-13.982414390843143</v>
      </c>
      <c r="G39" s="92">
        <f t="shared" si="5"/>
        <v>-0.57742015094320465</v>
      </c>
      <c r="H39" s="92">
        <f t="shared" si="5"/>
        <v>0</v>
      </c>
      <c r="I39" s="93">
        <f t="shared" si="5"/>
        <v>-14.55983454178635</v>
      </c>
      <c r="J39" s="94">
        <f>SUM(J34,J38)</f>
        <v>0</v>
      </c>
      <c r="K39" s="95">
        <f t="shared" si="1"/>
        <v>-14.55983454178635</v>
      </c>
      <c r="M39" s="96"/>
    </row>
    <row r="40" spans="2:13" x14ac:dyDescent="0.2">
      <c r="E40" s="52"/>
      <c r="F40" s="52"/>
      <c r="G40" s="52"/>
      <c r="H40" s="52"/>
    </row>
    <row r="41" spans="2:13" x14ac:dyDescent="0.2">
      <c r="C41" s="3"/>
      <c r="D41" s="96"/>
      <c r="E41" s="96"/>
      <c r="F41" s="96"/>
      <c r="G41" s="96"/>
      <c r="H41" s="96"/>
      <c r="I41" s="96"/>
      <c r="J41" s="96"/>
      <c r="K41" s="96"/>
    </row>
    <row r="42" spans="2:13" x14ac:dyDescent="0.2">
      <c r="C42" s="3"/>
      <c r="K42" s="97"/>
    </row>
    <row r="43" spans="2:13" x14ac:dyDescent="0.2">
      <c r="C43" s="3"/>
      <c r="D43" s="96"/>
      <c r="E43" s="96"/>
      <c r="F43" s="96"/>
      <c r="G43" s="96"/>
      <c r="H43" s="96"/>
      <c r="I43" s="96"/>
      <c r="J43" s="96"/>
      <c r="K43" s="96"/>
    </row>
    <row r="44" spans="2:13" x14ac:dyDescent="0.2">
      <c r="D44" s="96"/>
      <c r="E44" s="96"/>
      <c r="F44" s="96"/>
      <c r="G44" s="96"/>
      <c r="H44" s="96"/>
      <c r="I44" s="96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6"/>
  <sheetViews>
    <sheetView zoomScale="85" workbookViewId="0">
      <pane xSplit="2" ySplit="4" topLeftCell="G104" activePane="bottomRight" state="frozen"/>
      <selection activeCell="G22" sqref="G22"/>
      <selection pane="topRight" activeCell="G22" sqref="G22"/>
      <selection pane="bottomLeft" activeCell="G22" sqref="G22"/>
      <selection pane="bottomRight" activeCell="G22" sqref="G22"/>
    </sheetView>
  </sheetViews>
  <sheetFormatPr defaultColWidth="8.7109375" defaultRowHeight="12.75" x14ac:dyDescent="0.2"/>
  <cols>
    <col min="1" max="1" width="19.140625" style="1" customWidth="1"/>
    <col min="2" max="2" width="28.5703125" style="1" bestFit="1" customWidth="1"/>
    <col min="3" max="14" width="15.42578125" style="1" bestFit="1" customWidth="1"/>
    <col min="15" max="15" width="10.5703125" style="1" bestFit="1" customWidth="1"/>
    <col min="16" max="16384" width="8.7109375" style="1"/>
  </cols>
  <sheetData>
    <row r="3" spans="1:15" x14ac:dyDescent="0.2">
      <c r="A3" s="98"/>
      <c r="B3" s="99"/>
      <c r="C3" s="100" t="s">
        <v>54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1"/>
    </row>
    <row r="4" spans="1:15" x14ac:dyDescent="0.2">
      <c r="A4" s="100" t="s">
        <v>0</v>
      </c>
      <c r="B4" s="100" t="s">
        <v>24</v>
      </c>
      <c r="C4" s="102">
        <v>44562</v>
      </c>
      <c r="D4" s="103">
        <v>44593</v>
      </c>
      <c r="E4" s="103">
        <v>44621</v>
      </c>
      <c r="F4" s="103">
        <v>44652</v>
      </c>
      <c r="G4" s="103">
        <v>44682</v>
      </c>
      <c r="H4" s="103">
        <v>44713</v>
      </c>
      <c r="I4" s="103">
        <v>44743</v>
      </c>
      <c r="J4" s="103">
        <v>44774</v>
      </c>
      <c r="K4" s="103">
        <v>44805</v>
      </c>
      <c r="L4" s="103">
        <v>44835</v>
      </c>
      <c r="M4" s="103">
        <v>44866</v>
      </c>
      <c r="N4" s="103">
        <v>44896</v>
      </c>
      <c r="O4" s="104" t="s">
        <v>18</v>
      </c>
    </row>
    <row r="5" spans="1:15" x14ac:dyDescent="0.2">
      <c r="A5" s="98" t="s">
        <v>14</v>
      </c>
      <c r="B5" s="98" t="s">
        <v>71</v>
      </c>
      <c r="C5" s="105">
        <v>0.38272610931254541</v>
      </c>
      <c r="D5" s="106">
        <v>0.34115339643089154</v>
      </c>
      <c r="E5" s="106">
        <v>0.30000926821812068</v>
      </c>
      <c r="F5" s="106">
        <v>0.23529298321678324</v>
      </c>
      <c r="G5" s="106">
        <v>0.32272425566892127</v>
      </c>
      <c r="H5" s="106">
        <v>0.40372675808781383</v>
      </c>
      <c r="I5" s="106">
        <v>0.44401371696281861</v>
      </c>
      <c r="J5" s="106">
        <v>0.40886977411441022</v>
      </c>
      <c r="K5" s="106">
        <v>0.36858281523940545</v>
      </c>
      <c r="L5" s="106">
        <v>0.25243636997210439</v>
      </c>
      <c r="M5" s="106">
        <v>0.31286680828461155</v>
      </c>
      <c r="N5" s="106">
        <v>0.48130058315564217</v>
      </c>
      <c r="O5" s="107">
        <v>4.2537028386640676</v>
      </c>
    </row>
    <row r="6" spans="1:15" x14ac:dyDescent="0.2">
      <c r="A6" s="231"/>
      <c r="B6" s="108" t="s">
        <v>25</v>
      </c>
      <c r="C6" s="235">
        <v>-0.11928746442309374</v>
      </c>
      <c r="D6" s="236">
        <v>-0.10633014745888314</v>
      </c>
      <c r="E6" s="236">
        <v>-9.3506411081932417E-2</v>
      </c>
      <c r="F6" s="236">
        <v>-7.3335742405686993E-2</v>
      </c>
      <c r="G6" s="236">
        <v>-0.10058618220670729</v>
      </c>
      <c r="H6" s="236">
        <v>-0.12583291319882911</v>
      </c>
      <c r="I6" s="236">
        <v>-0.13838948840126003</v>
      </c>
      <c r="J6" s="236">
        <v>-0.12743588024594793</v>
      </c>
      <c r="K6" s="236">
        <v>-0.11487930504351695</v>
      </c>
      <c r="L6" s="236">
        <v>-7.8678965896083142E-2</v>
      </c>
      <c r="M6" s="236">
        <v>-9.7513828699729577E-2</v>
      </c>
      <c r="N6" s="236">
        <v>-0.15001099949287167</v>
      </c>
      <c r="O6" s="237">
        <v>-1.3257873285545418</v>
      </c>
    </row>
    <row r="7" spans="1:15" x14ac:dyDescent="0.2">
      <c r="A7" s="231"/>
      <c r="B7" s="108" t="s">
        <v>26</v>
      </c>
      <c r="C7" s="235">
        <v>-4.9261153179613057E-3</v>
      </c>
      <c r="D7" s="236">
        <v>-4.3910277638266517E-3</v>
      </c>
      <c r="E7" s="236">
        <v>-3.8614565762294674E-3</v>
      </c>
      <c r="F7" s="236">
        <v>-3.0284852290713964E-3</v>
      </c>
      <c r="G7" s="236">
        <v>-4.1538240027154125E-3</v>
      </c>
      <c r="H7" s="236">
        <v>-5.1964172782973696E-3</v>
      </c>
      <c r="I7" s="236">
        <v>-5.7149557328196113E-3</v>
      </c>
      <c r="J7" s="236">
        <v>-5.2626136767470163E-3</v>
      </c>
      <c r="K7" s="236">
        <v>-4.7440752222247745E-3</v>
      </c>
      <c r="L7" s="236">
        <v>-3.2491398905702233E-3</v>
      </c>
      <c r="M7" s="236">
        <v>-4.0269475723535876E-3</v>
      </c>
      <c r="N7" s="236">
        <v>-6.194879621579559E-3</v>
      </c>
      <c r="O7" s="237">
        <v>-5.4749937884396367E-2</v>
      </c>
    </row>
    <row r="8" spans="1:15" x14ac:dyDescent="0.2">
      <c r="A8" s="231"/>
      <c r="B8" s="108" t="s">
        <v>27</v>
      </c>
      <c r="C8" s="235">
        <v>-0.12421357974105504</v>
      </c>
      <c r="D8" s="236">
        <v>-0.11072117522270979</v>
      </c>
      <c r="E8" s="236">
        <v>-9.7367867658161883E-2</v>
      </c>
      <c r="F8" s="236">
        <v>-7.6364227634758391E-2</v>
      </c>
      <c r="G8" s="236">
        <v>-0.1047400062094227</v>
      </c>
      <c r="H8" s="236">
        <v>-0.13102933047712648</v>
      </c>
      <c r="I8" s="236">
        <v>-0.14410444413407963</v>
      </c>
      <c r="J8" s="236">
        <v>-0.13269849392269495</v>
      </c>
      <c r="K8" s="236">
        <v>-0.11962338026574174</v>
      </c>
      <c r="L8" s="236">
        <v>-8.1928105786653369E-2</v>
      </c>
      <c r="M8" s="236">
        <v>-0.10154077627208316</v>
      </c>
      <c r="N8" s="236">
        <v>-0.15620587911445122</v>
      </c>
      <c r="O8" s="237">
        <v>-1.3805372664389384</v>
      </c>
    </row>
    <row r="9" spans="1:15" x14ac:dyDescent="0.2">
      <c r="A9" s="231"/>
      <c r="B9" s="108" t="s">
        <v>50</v>
      </c>
      <c r="C9" s="109">
        <v>0.50201357373563915</v>
      </c>
      <c r="D9" s="97">
        <v>0.44748354388977468</v>
      </c>
      <c r="E9" s="97">
        <v>0.3935156793000531</v>
      </c>
      <c r="F9" s="97">
        <v>0.30862872562247023</v>
      </c>
      <c r="G9" s="97">
        <v>0.42331043787562855</v>
      </c>
      <c r="H9" s="97">
        <v>0.52955967128664294</v>
      </c>
      <c r="I9" s="97">
        <v>0.58240320536407864</v>
      </c>
      <c r="J9" s="97">
        <v>0.53630565436035815</v>
      </c>
      <c r="K9" s="97">
        <v>0.4834621202829224</v>
      </c>
      <c r="L9" s="97">
        <v>0.33111533586818753</v>
      </c>
      <c r="M9" s="97">
        <v>0.41038063698434113</v>
      </c>
      <c r="N9" s="97">
        <v>0.63131158264851384</v>
      </c>
      <c r="O9" s="110">
        <v>5.5794901672186112</v>
      </c>
    </row>
    <row r="10" spans="1:15" x14ac:dyDescent="0.2">
      <c r="A10" s="231"/>
      <c r="B10" s="108" t="s">
        <v>89</v>
      </c>
      <c r="C10" s="109">
        <v>0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110">
        <v>0</v>
      </c>
    </row>
    <row r="11" spans="1:15" x14ac:dyDescent="0.2">
      <c r="A11" s="231"/>
      <c r="B11" s="108" t="s">
        <v>91</v>
      </c>
      <c r="C11" s="109">
        <v>0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97">
        <v>0</v>
      </c>
      <c r="O11" s="110">
        <v>0</v>
      </c>
    </row>
    <row r="12" spans="1:15" x14ac:dyDescent="0.2">
      <c r="A12" s="98" t="s">
        <v>17</v>
      </c>
      <c r="B12" s="98" t="s">
        <v>71</v>
      </c>
      <c r="C12" s="105">
        <v>4.5429974901601132E-2</v>
      </c>
      <c r="D12" s="106">
        <v>4.3287051557185985E-2</v>
      </c>
      <c r="E12" s="106">
        <v>4.1572712881653866E-2</v>
      </c>
      <c r="F12" s="106">
        <v>4.2001297550536894E-2</v>
      </c>
      <c r="G12" s="106">
        <v>4.4572805563835076E-2</v>
      </c>
      <c r="H12" s="106">
        <v>4.9287236921548398E-2</v>
      </c>
      <c r="I12" s="106">
        <v>1.800055609308724E-2</v>
      </c>
      <c r="J12" s="106">
        <v>1.7571971424204212E-2</v>
      </c>
      <c r="K12" s="106">
        <v>4.9287236921548398E-2</v>
      </c>
      <c r="L12" s="106">
        <v>4.5001390232718104E-2</v>
      </c>
      <c r="M12" s="106">
        <v>4.4572805563835076E-2</v>
      </c>
      <c r="N12" s="106">
        <v>4.4572805563835076E-2</v>
      </c>
      <c r="O12" s="107">
        <v>0.48515784517558946</v>
      </c>
    </row>
    <row r="13" spans="1:15" x14ac:dyDescent="0.2">
      <c r="A13" s="231"/>
      <c r="B13" s="108" t="s">
        <v>25</v>
      </c>
      <c r="C13" s="235">
        <v>-1.4159542249549767E-2</v>
      </c>
      <c r="D13" s="236">
        <v>-1.3491639313250252E-2</v>
      </c>
      <c r="E13" s="236">
        <v>-1.2957316964210638E-2</v>
      </c>
      <c r="F13" s="236">
        <v>-1.309089755147054E-2</v>
      </c>
      <c r="G13" s="236">
        <v>-1.3892381075029957E-2</v>
      </c>
      <c r="H13" s="236">
        <v>-1.5361767534888902E-2</v>
      </c>
      <c r="I13" s="236">
        <v>-5.6103846649159482E-3</v>
      </c>
      <c r="J13" s="236">
        <v>-5.4768040776560431E-3</v>
      </c>
      <c r="K13" s="236">
        <v>-1.5361767534888902E-2</v>
      </c>
      <c r="L13" s="236">
        <v>-1.4025961662289865E-2</v>
      </c>
      <c r="M13" s="236">
        <v>-1.3892381075029957E-2</v>
      </c>
      <c r="N13" s="236">
        <v>-1.3892381075029957E-2</v>
      </c>
      <c r="O13" s="237">
        <v>-0.15121322477821075</v>
      </c>
    </row>
    <row r="14" spans="1:15" x14ac:dyDescent="0.2">
      <c r="A14" s="231"/>
      <c r="B14" s="108" t="s">
        <v>26</v>
      </c>
      <c r="C14" s="235">
        <v>-5.8473485297189077E-4</v>
      </c>
      <c r="D14" s="236">
        <v>-5.5715302028453741E-4</v>
      </c>
      <c r="E14" s="236">
        <v>-5.3508755413465478E-4</v>
      </c>
      <c r="F14" s="236">
        <v>-5.4060392067212541E-4</v>
      </c>
      <c r="G14" s="236">
        <v>-5.737021198969494E-4</v>
      </c>
      <c r="H14" s="236">
        <v>-6.3438215180912686E-4</v>
      </c>
      <c r="I14" s="236">
        <v>-2.3168739457376803E-4</v>
      </c>
      <c r="J14" s="236">
        <v>-2.2617102803629735E-4</v>
      </c>
      <c r="K14" s="236">
        <v>-6.3438215180912686E-4</v>
      </c>
      <c r="L14" s="236">
        <v>-5.7921848643442014E-4</v>
      </c>
      <c r="M14" s="236">
        <v>-5.737021198969494E-4</v>
      </c>
      <c r="N14" s="236">
        <v>-5.737021198969494E-4</v>
      </c>
      <c r="O14" s="237">
        <v>-6.244526920416796E-3</v>
      </c>
    </row>
    <row r="15" spans="1:15" x14ac:dyDescent="0.2">
      <c r="A15" s="231"/>
      <c r="B15" s="108" t="s">
        <v>27</v>
      </c>
      <c r="C15" s="235">
        <v>-1.4744277102521658E-2</v>
      </c>
      <c r="D15" s="236">
        <v>-1.4048792333534789E-2</v>
      </c>
      <c r="E15" s="236">
        <v>-1.3492404518345293E-2</v>
      </c>
      <c r="F15" s="236">
        <v>-1.3631501472142666E-2</v>
      </c>
      <c r="G15" s="236">
        <v>-1.4466083194926906E-2</v>
      </c>
      <c r="H15" s="236">
        <v>-1.5996149686698029E-2</v>
      </c>
      <c r="I15" s="236">
        <v>-5.8420720594897163E-3</v>
      </c>
      <c r="J15" s="236">
        <v>-5.7029751056923402E-3</v>
      </c>
      <c r="K15" s="236">
        <v>-1.5996149686698029E-2</v>
      </c>
      <c r="L15" s="236">
        <v>-1.4605180148724285E-2</v>
      </c>
      <c r="M15" s="236">
        <v>-1.4466083194926906E-2</v>
      </c>
      <c r="N15" s="236">
        <v>-1.4466083194926906E-2</v>
      </c>
      <c r="O15" s="237">
        <v>-0.15745775169862752</v>
      </c>
    </row>
    <row r="16" spans="1:15" x14ac:dyDescent="0.2">
      <c r="A16" s="231"/>
      <c r="B16" s="108" t="s">
        <v>50</v>
      </c>
      <c r="C16" s="109">
        <v>5.9589517151150899E-2</v>
      </c>
      <c r="D16" s="97">
        <v>5.6778690870436237E-2</v>
      </c>
      <c r="E16" s="97">
        <v>5.4530029845864504E-2</v>
      </c>
      <c r="F16" s="97">
        <v>5.5092195102007434E-2</v>
      </c>
      <c r="G16" s="97">
        <v>5.8465186638865033E-2</v>
      </c>
      <c r="H16" s="97">
        <v>6.4649004456437301E-2</v>
      </c>
      <c r="I16" s="97">
        <v>2.3610940758003188E-2</v>
      </c>
      <c r="J16" s="97">
        <v>2.3048775501860255E-2</v>
      </c>
      <c r="K16" s="97">
        <v>6.4649004456437301E-2</v>
      </c>
      <c r="L16" s="97">
        <v>5.9027351895007969E-2</v>
      </c>
      <c r="M16" s="97">
        <v>5.8465186638865033E-2</v>
      </c>
      <c r="N16" s="97">
        <v>5.8465186638865033E-2</v>
      </c>
      <c r="O16" s="110">
        <v>0.63637106995380011</v>
      </c>
    </row>
    <row r="17" spans="1:15" x14ac:dyDescent="0.2">
      <c r="A17" s="231"/>
      <c r="B17" s="108" t="s">
        <v>89</v>
      </c>
      <c r="C17" s="109">
        <v>0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110">
        <v>0</v>
      </c>
    </row>
    <row r="18" spans="1:15" x14ac:dyDescent="0.2">
      <c r="A18" s="231"/>
      <c r="B18" s="108" t="s">
        <v>91</v>
      </c>
      <c r="C18" s="109">
        <v>0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110">
        <v>0</v>
      </c>
    </row>
    <row r="19" spans="1:15" x14ac:dyDescent="0.2">
      <c r="A19" s="98" t="s">
        <v>13</v>
      </c>
      <c r="B19" s="98" t="s">
        <v>71</v>
      </c>
      <c r="C19" s="105">
        <v>0.4478709789827659</v>
      </c>
      <c r="D19" s="106">
        <v>0.47744332113569493</v>
      </c>
      <c r="E19" s="106">
        <v>0.41872722149871988</v>
      </c>
      <c r="F19" s="106">
        <v>0.23100713652795293</v>
      </c>
      <c r="G19" s="106">
        <v>0.32315284033780428</v>
      </c>
      <c r="H19" s="106">
        <v>0.40544109676334594</v>
      </c>
      <c r="I19" s="106">
        <v>0.41958439083648597</v>
      </c>
      <c r="J19" s="106">
        <v>0.41701288282318777</v>
      </c>
      <c r="K19" s="106">
        <v>0.36301121454392604</v>
      </c>
      <c r="L19" s="106">
        <v>0.26100806334976501</v>
      </c>
      <c r="M19" s="106">
        <v>0.34586782778860486</v>
      </c>
      <c r="N19" s="106">
        <v>0.6145904151782644</v>
      </c>
      <c r="O19" s="107">
        <v>4.7247173897665178</v>
      </c>
    </row>
    <row r="20" spans="1:15" x14ac:dyDescent="0.2">
      <c r="A20" s="231"/>
      <c r="B20" s="108" t="s">
        <v>25</v>
      </c>
      <c r="C20" s="235">
        <v>-0.13959171368659912</v>
      </c>
      <c r="D20" s="236">
        <v>-0.14880877420753241</v>
      </c>
      <c r="E20" s="236">
        <v>-0.13050823375292564</v>
      </c>
      <c r="F20" s="236">
        <v>-7.1999936533087977E-2</v>
      </c>
      <c r="G20" s="236">
        <v>-0.10071976279396722</v>
      </c>
      <c r="H20" s="236">
        <v>-0.12636723554786866</v>
      </c>
      <c r="I20" s="236">
        <v>-0.13077539492744544</v>
      </c>
      <c r="J20" s="236">
        <v>-0.12997391140388609</v>
      </c>
      <c r="K20" s="236">
        <v>-0.11314275740913826</v>
      </c>
      <c r="L20" s="236">
        <v>-8.135057764128123E-2</v>
      </c>
      <c r="M20" s="236">
        <v>-0.10779953391874209</v>
      </c>
      <c r="N20" s="236">
        <v>-0.19155456213070154</v>
      </c>
      <c r="O20" s="237">
        <v>-1.4725923939531758</v>
      </c>
    </row>
    <row r="21" spans="1:15" x14ac:dyDescent="0.2">
      <c r="A21" s="231"/>
      <c r="B21" s="108" t="s">
        <v>26</v>
      </c>
      <c r="C21" s="235">
        <v>-5.7646030316568482E-3</v>
      </c>
      <c r="D21" s="236">
        <v>-6.1452323227423238E-3</v>
      </c>
      <c r="E21" s="236">
        <v>-5.389490107108842E-3</v>
      </c>
      <c r="F21" s="236">
        <v>-2.9733215636966897E-3</v>
      </c>
      <c r="G21" s="236">
        <v>-4.1593403692528836E-3</v>
      </c>
      <c r="H21" s="236">
        <v>-5.2184827444472512E-3</v>
      </c>
      <c r="I21" s="236">
        <v>-5.4005228401837833E-3</v>
      </c>
      <c r="J21" s="236">
        <v>-5.3674246409589595E-3</v>
      </c>
      <c r="K21" s="236">
        <v>-4.6723624572376551E-3</v>
      </c>
      <c r="L21" s="236">
        <v>-3.3594672213196363E-3</v>
      </c>
      <c r="M21" s="236">
        <v>-4.4517077957388282E-3</v>
      </c>
      <c r="N21" s="236">
        <v>-7.9104696147329363E-3</v>
      </c>
      <c r="O21" s="237">
        <v>-6.0812424709076635E-2</v>
      </c>
    </row>
    <row r="22" spans="1:15" x14ac:dyDescent="0.2">
      <c r="A22" s="231"/>
      <c r="B22" s="108" t="s">
        <v>27</v>
      </c>
      <c r="C22" s="235">
        <v>-0.14535631671825597</v>
      </c>
      <c r="D22" s="236">
        <v>-0.15495400653027475</v>
      </c>
      <c r="E22" s="236">
        <v>-0.13589772386003449</v>
      </c>
      <c r="F22" s="236">
        <v>-7.4973258096784665E-2</v>
      </c>
      <c r="G22" s="236">
        <v>-0.10487910316322011</v>
      </c>
      <c r="H22" s="236">
        <v>-0.13158571829231591</v>
      </c>
      <c r="I22" s="236">
        <v>-0.13617591776762922</v>
      </c>
      <c r="J22" s="236">
        <v>-0.13534133604484505</v>
      </c>
      <c r="K22" s="236">
        <v>-0.11781511986637591</v>
      </c>
      <c r="L22" s="236">
        <v>-8.4710044862600864E-2</v>
      </c>
      <c r="M22" s="236">
        <v>-0.11225124171448092</v>
      </c>
      <c r="N22" s="236">
        <v>-0.19946503174543448</v>
      </c>
      <c r="O22" s="237">
        <v>-1.5334048186622524</v>
      </c>
    </row>
    <row r="23" spans="1:15" x14ac:dyDescent="0.2">
      <c r="A23" s="231"/>
      <c r="B23" s="108" t="s">
        <v>50</v>
      </c>
      <c r="C23" s="109">
        <v>0.58746269266936502</v>
      </c>
      <c r="D23" s="97">
        <v>0.62625209534322734</v>
      </c>
      <c r="E23" s="97">
        <v>0.54923545525164552</v>
      </c>
      <c r="F23" s="97">
        <v>0.30300707306104091</v>
      </c>
      <c r="G23" s="97">
        <v>0.4238726031317715</v>
      </c>
      <c r="H23" s="97">
        <v>0.5318083323112146</v>
      </c>
      <c r="I23" s="97">
        <v>0.55035978576393141</v>
      </c>
      <c r="J23" s="97">
        <v>0.54698679422707386</v>
      </c>
      <c r="K23" s="97">
        <v>0.4761539719530643</v>
      </c>
      <c r="L23" s="97">
        <v>0.34235864099104624</v>
      </c>
      <c r="M23" s="97">
        <v>0.45366736170734695</v>
      </c>
      <c r="N23" s="97">
        <v>0.80614497730896595</v>
      </c>
      <c r="O23" s="110">
        <v>6.1973097837196933</v>
      </c>
    </row>
    <row r="24" spans="1:15" x14ac:dyDescent="0.2">
      <c r="A24" s="231"/>
      <c r="B24" s="108" t="s">
        <v>89</v>
      </c>
      <c r="C24" s="109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110">
        <v>0</v>
      </c>
    </row>
    <row r="25" spans="1:15" x14ac:dyDescent="0.2">
      <c r="A25" s="231"/>
      <c r="B25" s="108" t="s">
        <v>91</v>
      </c>
      <c r="C25" s="109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110">
        <v>0</v>
      </c>
    </row>
    <row r="26" spans="1:15" x14ac:dyDescent="0.2">
      <c r="A26" s="98" t="s">
        <v>15</v>
      </c>
      <c r="B26" s="98" t="s">
        <v>71</v>
      </c>
      <c r="C26" s="105">
        <v>3.4286773510642365E-3</v>
      </c>
      <c r="D26" s="106">
        <v>3.0000926821812067E-3</v>
      </c>
      <c r="E26" s="106">
        <v>2.142923344415148E-3</v>
      </c>
      <c r="F26" s="106">
        <v>3.0000926821812067E-3</v>
      </c>
      <c r="G26" s="106">
        <v>4.285846688830296E-3</v>
      </c>
      <c r="H26" s="106">
        <v>6.0001853643624134E-3</v>
      </c>
      <c r="I26" s="106">
        <v>7.7145240398945325E-3</v>
      </c>
      <c r="J26" s="106">
        <v>6.857354702128473E-3</v>
      </c>
      <c r="K26" s="106">
        <v>3.8572620199472663E-3</v>
      </c>
      <c r="L26" s="106">
        <v>2.5715080132981774E-3</v>
      </c>
      <c r="M26" s="106">
        <v>2.5715080132981774E-3</v>
      </c>
      <c r="N26" s="106">
        <v>3.4286773510642365E-3</v>
      </c>
      <c r="O26" s="107">
        <v>4.8858652252665363E-2</v>
      </c>
    </row>
    <row r="27" spans="1:15" x14ac:dyDescent="0.2">
      <c r="A27" s="231"/>
      <c r="B27" s="108" t="s">
        <v>25</v>
      </c>
      <c r="C27" s="235">
        <v>-1.0686446980792278E-3</v>
      </c>
      <c r="D27" s="236">
        <v>-9.3506411081932441E-4</v>
      </c>
      <c r="E27" s="236">
        <v>-6.6790293629951725E-4</v>
      </c>
      <c r="F27" s="236">
        <v>-9.3506411081932441E-4</v>
      </c>
      <c r="G27" s="236">
        <v>-1.3358058725990345E-3</v>
      </c>
      <c r="H27" s="236">
        <v>-1.8701282216386488E-3</v>
      </c>
      <c r="I27" s="236">
        <v>-2.4044505706782623E-3</v>
      </c>
      <c r="J27" s="236">
        <v>-2.1372893961584555E-3</v>
      </c>
      <c r="K27" s="236">
        <v>-1.2022252853391311E-3</v>
      </c>
      <c r="L27" s="236">
        <v>-8.0148352355942061E-4</v>
      </c>
      <c r="M27" s="236">
        <v>-8.0148352355942061E-4</v>
      </c>
      <c r="N27" s="236">
        <v>-1.0686446980792278E-3</v>
      </c>
      <c r="O27" s="237">
        <v>-1.5228186947628994E-2</v>
      </c>
    </row>
    <row r="28" spans="1:15" x14ac:dyDescent="0.2">
      <c r="A28" s="231"/>
      <c r="B28" s="108" t="s">
        <v>26</v>
      </c>
      <c r="C28" s="235">
        <v>-4.4130932299765342E-5</v>
      </c>
      <c r="D28" s="236">
        <v>-3.8614565762294672E-5</v>
      </c>
      <c r="E28" s="236">
        <v>-2.7581832687353337E-5</v>
      </c>
      <c r="F28" s="236">
        <v>-3.8614565762294672E-5</v>
      </c>
      <c r="G28" s="236">
        <v>-5.5163665374706674E-5</v>
      </c>
      <c r="H28" s="236">
        <v>-7.7229131524589345E-5</v>
      </c>
      <c r="I28" s="236">
        <v>-9.9294597674472022E-5</v>
      </c>
      <c r="J28" s="236">
        <v>-8.8261864599530683E-5</v>
      </c>
      <c r="K28" s="236">
        <v>-4.9647298837236011E-5</v>
      </c>
      <c r="L28" s="236">
        <v>-3.3098199224824003E-5</v>
      </c>
      <c r="M28" s="236">
        <v>-3.3098199224824003E-5</v>
      </c>
      <c r="N28" s="236">
        <v>-4.4130932299765342E-5</v>
      </c>
      <c r="O28" s="237">
        <v>-6.2886578527165601E-4</v>
      </c>
    </row>
    <row r="29" spans="1:15" x14ac:dyDescent="0.2">
      <c r="A29" s="231"/>
      <c r="B29" s="108" t="s">
        <v>27</v>
      </c>
      <c r="C29" s="235">
        <v>-1.112775630378993E-3</v>
      </c>
      <c r="D29" s="236">
        <v>-9.7367867658161903E-4</v>
      </c>
      <c r="E29" s="236">
        <v>-6.9548476898687061E-4</v>
      </c>
      <c r="F29" s="236">
        <v>-9.7367867658161903E-4</v>
      </c>
      <c r="G29" s="236">
        <v>-1.3909695379737412E-3</v>
      </c>
      <c r="H29" s="236">
        <v>-1.9473573531632381E-3</v>
      </c>
      <c r="I29" s="236">
        <v>-2.5037451683527345E-3</v>
      </c>
      <c r="J29" s="236">
        <v>-2.225551260757986E-3</v>
      </c>
      <c r="K29" s="236">
        <v>-1.2518725841763672E-3</v>
      </c>
      <c r="L29" s="236">
        <v>-8.345817227842446E-4</v>
      </c>
      <c r="M29" s="236">
        <v>-8.345817227842446E-4</v>
      </c>
      <c r="N29" s="236">
        <v>-1.112775630378993E-3</v>
      </c>
      <c r="O29" s="237">
        <v>-1.585705273290065E-2</v>
      </c>
    </row>
    <row r="30" spans="1:15" x14ac:dyDescent="0.2">
      <c r="A30" s="231"/>
      <c r="B30" s="108" t="s">
        <v>50</v>
      </c>
      <c r="C30" s="109">
        <v>4.4973220491434642E-3</v>
      </c>
      <c r="D30" s="97">
        <v>3.9351567930005311E-3</v>
      </c>
      <c r="E30" s="97">
        <v>2.8108262807146653E-3</v>
      </c>
      <c r="F30" s="97">
        <v>3.9351567930005311E-3</v>
      </c>
      <c r="G30" s="97">
        <v>5.6216525614293305E-3</v>
      </c>
      <c r="H30" s="97">
        <v>7.8703135860010622E-3</v>
      </c>
      <c r="I30" s="97">
        <v>1.0118974610572795E-2</v>
      </c>
      <c r="J30" s="97">
        <v>8.9946440982869285E-3</v>
      </c>
      <c r="K30" s="97">
        <v>5.0594873052863974E-3</v>
      </c>
      <c r="L30" s="97">
        <v>3.372991536857598E-3</v>
      </c>
      <c r="M30" s="97">
        <v>3.372991536857598E-3</v>
      </c>
      <c r="N30" s="97">
        <v>4.4973220491434642E-3</v>
      </c>
      <c r="O30" s="110">
        <v>6.4086839200294371E-2</v>
      </c>
    </row>
    <row r="31" spans="1:15" x14ac:dyDescent="0.2">
      <c r="A31" s="231"/>
      <c r="B31" s="108" t="s">
        <v>89</v>
      </c>
      <c r="C31" s="109">
        <v>0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110">
        <v>0</v>
      </c>
    </row>
    <row r="32" spans="1:15" x14ac:dyDescent="0.2">
      <c r="A32" s="231"/>
      <c r="B32" s="108" t="s">
        <v>91</v>
      </c>
      <c r="C32" s="109">
        <v>0</v>
      </c>
      <c r="D32" s="97">
        <v>0</v>
      </c>
      <c r="E32" s="97">
        <v>0</v>
      </c>
      <c r="F32" s="97">
        <v>0</v>
      </c>
      <c r="G32" s="97">
        <v>0</v>
      </c>
      <c r="H32" s="97">
        <v>0</v>
      </c>
      <c r="I32" s="97">
        <v>0</v>
      </c>
      <c r="J32" s="97">
        <v>0</v>
      </c>
      <c r="K32" s="97">
        <v>0</v>
      </c>
      <c r="L32" s="97">
        <v>0</v>
      </c>
      <c r="M32" s="97">
        <v>0</v>
      </c>
      <c r="N32" s="97">
        <v>0</v>
      </c>
      <c r="O32" s="110">
        <v>0</v>
      </c>
    </row>
    <row r="33" spans="1:15" x14ac:dyDescent="0.2">
      <c r="A33" s="98" t="s">
        <v>16</v>
      </c>
      <c r="B33" s="98" t="s">
        <v>71</v>
      </c>
      <c r="C33" s="105">
        <v>1.2857540066490887E-3</v>
      </c>
      <c r="D33" s="106">
        <v>8.5716933776605912E-4</v>
      </c>
      <c r="E33" s="106">
        <v>1.2857540066490887E-3</v>
      </c>
      <c r="F33" s="106">
        <v>8.5716933776605912E-4</v>
      </c>
      <c r="G33" s="106">
        <v>1.2857540066490887E-3</v>
      </c>
      <c r="H33" s="106">
        <v>2.142923344415148E-3</v>
      </c>
      <c r="I33" s="106">
        <v>2.5715080132981774E-3</v>
      </c>
      <c r="J33" s="106">
        <v>2.5715080132981774E-3</v>
      </c>
      <c r="K33" s="106">
        <v>1.2857540066490887E-3</v>
      </c>
      <c r="L33" s="106">
        <v>8.5716933776605912E-4</v>
      </c>
      <c r="M33" s="106">
        <v>4.2858466888302956E-4</v>
      </c>
      <c r="N33" s="106">
        <v>1.7143386755321182E-3</v>
      </c>
      <c r="O33" s="107">
        <v>1.7143386755321184E-2</v>
      </c>
    </row>
    <row r="34" spans="1:15" x14ac:dyDescent="0.2">
      <c r="A34" s="231"/>
      <c r="B34" s="108" t="s">
        <v>25</v>
      </c>
      <c r="C34" s="235">
        <v>-4.0074176177971031E-4</v>
      </c>
      <c r="D34" s="236">
        <v>-2.6716117451980694E-4</v>
      </c>
      <c r="E34" s="236">
        <v>-4.0074176177971031E-4</v>
      </c>
      <c r="F34" s="236">
        <v>-2.6716117451980694E-4</v>
      </c>
      <c r="G34" s="236">
        <v>-4.0074176177971031E-4</v>
      </c>
      <c r="H34" s="236">
        <v>-6.6790293629951725E-4</v>
      </c>
      <c r="I34" s="236">
        <v>-8.0148352355942061E-4</v>
      </c>
      <c r="J34" s="236">
        <v>-8.0148352355942061E-4</v>
      </c>
      <c r="K34" s="236">
        <v>-4.0074176177971031E-4</v>
      </c>
      <c r="L34" s="236">
        <v>-2.6716117451980694E-4</v>
      </c>
      <c r="M34" s="236">
        <v>-1.3358058725990347E-4</v>
      </c>
      <c r="N34" s="236">
        <v>-5.3432234903961389E-4</v>
      </c>
      <c r="O34" s="237">
        <v>-5.343223490396138E-3</v>
      </c>
    </row>
    <row r="35" spans="1:15" x14ac:dyDescent="0.2">
      <c r="A35" s="231"/>
      <c r="B35" s="108" t="s">
        <v>26</v>
      </c>
      <c r="C35" s="235">
        <v>-1.6549099612412001E-5</v>
      </c>
      <c r="D35" s="236">
        <v>-1.1032733074941335E-5</v>
      </c>
      <c r="E35" s="236">
        <v>-1.6549099612412001E-5</v>
      </c>
      <c r="F35" s="236">
        <v>-1.1032733074941335E-5</v>
      </c>
      <c r="G35" s="236">
        <v>-1.6549099612412001E-5</v>
      </c>
      <c r="H35" s="236">
        <v>-2.7581832687353337E-5</v>
      </c>
      <c r="I35" s="236">
        <v>-3.3098199224824003E-5</v>
      </c>
      <c r="J35" s="236">
        <v>-3.3098199224824003E-5</v>
      </c>
      <c r="K35" s="236">
        <v>-1.6549099612412001E-5</v>
      </c>
      <c r="L35" s="236">
        <v>-1.1032733074941335E-5</v>
      </c>
      <c r="M35" s="236">
        <v>-5.5163665374706677E-6</v>
      </c>
      <c r="N35" s="236">
        <v>-2.2065466149882671E-5</v>
      </c>
      <c r="O35" s="237">
        <v>-2.2065466149882667E-4</v>
      </c>
    </row>
    <row r="36" spans="1:15" x14ac:dyDescent="0.2">
      <c r="A36" s="231"/>
      <c r="B36" s="108" t="s">
        <v>27</v>
      </c>
      <c r="C36" s="235">
        <v>-4.172908613921223E-4</v>
      </c>
      <c r="D36" s="236">
        <v>-2.7819390759474826E-4</v>
      </c>
      <c r="E36" s="236">
        <v>-4.172908613921223E-4</v>
      </c>
      <c r="F36" s="236">
        <v>-2.7819390759474826E-4</v>
      </c>
      <c r="G36" s="236">
        <v>-4.172908613921223E-4</v>
      </c>
      <c r="H36" s="236">
        <v>-6.9548476898687061E-4</v>
      </c>
      <c r="I36" s="236">
        <v>-8.345817227842446E-4</v>
      </c>
      <c r="J36" s="236">
        <v>-8.345817227842446E-4</v>
      </c>
      <c r="K36" s="236">
        <v>-4.172908613921223E-4</v>
      </c>
      <c r="L36" s="236">
        <v>-2.7819390759474826E-4</v>
      </c>
      <c r="M36" s="236">
        <v>-1.3909695379737413E-4</v>
      </c>
      <c r="N36" s="236">
        <v>-5.5638781518949651E-4</v>
      </c>
      <c r="O36" s="237">
        <v>-5.5638781518949649E-3</v>
      </c>
    </row>
    <row r="37" spans="1:15" x14ac:dyDescent="0.2">
      <c r="A37" s="231"/>
      <c r="B37" s="108" t="s">
        <v>50</v>
      </c>
      <c r="C37" s="109">
        <v>1.686495768428799E-3</v>
      </c>
      <c r="D37" s="97">
        <v>1.1243305122858661E-3</v>
      </c>
      <c r="E37" s="97">
        <v>1.686495768428799E-3</v>
      </c>
      <c r="F37" s="97">
        <v>1.1243305122858661E-3</v>
      </c>
      <c r="G37" s="97">
        <v>1.686495768428799E-3</v>
      </c>
      <c r="H37" s="97">
        <v>2.8108262807146653E-3</v>
      </c>
      <c r="I37" s="97">
        <v>3.372991536857598E-3</v>
      </c>
      <c r="J37" s="97">
        <v>3.372991536857598E-3</v>
      </c>
      <c r="K37" s="97">
        <v>1.686495768428799E-3</v>
      </c>
      <c r="L37" s="97">
        <v>1.1243305122858661E-3</v>
      </c>
      <c r="M37" s="97">
        <v>5.6216525614293303E-4</v>
      </c>
      <c r="N37" s="97">
        <v>2.2486610245717321E-3</v>
      </c>
      <c r="O37" s="110">
        <v>2.2486610245717322E-2</v>
      </c>
    </row>
    <row r="38" spans="1:15" x14ac:dyDescent="0.2">
      <c r="A38" s="231"/>
      <c r="B38" s="108" t="s">
        <v>89</v>
      </c>
      <c r="C38" s="109">
        <v>0</v>
      </c>
      <c r="D38" s="97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0</v>
      </c>
      <c r="O38" s="110">
        <v>0</v>
      </c>
    </row>
    <row r="39" spans="1:15" x14ac:dyDescent="0.2">
      <c r="A39" s="231"/>
      <c r="B39" s="108" t="s">
        <v>91</v>
      </c>
      <c r="C39" s="109">
        <v>0</v>
      </c>
      <c r="D39" s="97">
        <v>0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0</v>
      </c>
      <c r="L39" s="97">
        <v>0</v>
      </c>
      <c r="M39" s="97">
        <v>0</v>
      </c>
      <c r="N39" s="97">
        <v>0</v>
      </c>
      <c r="O39" s="110">
        <v>0</v>
      </c>
    </row>
    <row r="40" spans="1:15" x14ac:dyDescent="0.2">
      <c r="A40" s="98" t="s">
        <v>19</v>
      </c>
      <c r="B40" s="98" t="s">
        <v>71</v>
      </c>
      <c r="C40" s="105">
        <v>1.800055609308724E-2</v>
      </c>
      <c r="D40" s="106">
        <v>1.8429140761970272E-2</v>
      </c>
      <c r="E40" s="106">
        <v>1.800055609308724E-2</v>
      </c>
      <c r="F40" s="106">
        <v>2.2286402781917538E-2</v>
      </c>
      <c r="G40" s="106">
        <v>2.2286402781917538E-2</v>
      </c>
      <c r="H40" s="106">
        <v>2.4000741457449654E-2</v>
      </c>
      <c r="I40" s="106">
        <v>2.4857910795215713E-2</v>
      </c>
      <c r="J40" s="106">
        <v>2.5715080132981773E-2</v>
      </c>
      <c r="K40" s="106">
        <v>2.4857910795215713E-2</v>
      </c>
      <c r="L40" s="106">
        <v>2.4000741457449654E-2</v>
      </c>
      <c r="M40" s="106">
        <v>2.5286495464098745E-2</v>
      </c>
      <c r="N40" s="106">
        <v>2.4857910795215713E-2</v>
      </c>
      <c r="O40" s="107">
        <v>0.27257984940960678</v>
      </c>
    </row>
    <row r="41" spans="1:15" x14ac:dyDescent="0.2">
      <c r="A41" s="231"/>
      <c r="B41" s="108" t="s">
        <v>25</v>
      </c>
      <c r="C41" s="235">
        <v>-5.6103846649159482E-3</v>
      </c>
      <c r="D41" s="236">
        <v>-5.7439652521758498E-3</v>
      </c>
      <c r="E41" s="236">
        <v>-5.6103846649159482E-3</v>
      </c>
      <c r="F41" s="236">
        <v>-6.9461905375149784E-3</v>
      </c>
      <c r="G41" s="236">
        <v>-6.9461905375149784E-3</v>
      </c>
      <c r="H41" s="236">
        <v>-7.4805128865545953E-3</v>
      </c>
      <c r="I41" s="236">
        <v>-7.747674061074402E-3</v>
      </c>
      <c r="J41" s="236">
        <v>-8.0148352355942087E-3</v>
      </c>
      <c r="K41" s="236">
        <v>-7.747674061074402E-3</v>
      </c>
      <c r="L41" s="236">
        <v>-7.4805128865545953E-3</v>
      </c>
      <c r="M41" s="236">
        <v>-7.8812546483343071E-3</v>
      </c>
      <c r="N41" s="236">
        <v>-7.747674061074402E-3</v>
      </c>
      <c r="O41" s="237">
        <v>-8.4957253497298629E-2</v>
      </c>
    </row>
    <row r="42" spans="1:15" x14ac:dyDescent="0.2">
      <c r="A42" s="231"/>
      <c r="B42" s="108" t="s">
        <v>26</v>
      </c>
      <c r="C42" s="235">
        <v>-2.3168739457376803E-4</v>
      </c>
      <c r="D42" s="236">
        <v>-2.3720376111123872E-4</v>
      </c>
      <c r="E42" s="236">
        <v>-2.3168739457376803E-4</v>
      </c>
      <c r="F42" s="236">
        <v>-2.868510599484747E-4</v>
      </c>
      <c r="G42" s="236">
        <v>-2.868510599484747E-4</v>
      </c>
      <c r="H42" s="236">
        <v>-3.0891652609835738E-4</v>
      </c>
      <c r="I42" s="236">
        <v>-3.1994925917329874E-4</v>
      </c>
      <c r="J42" s="236">
        <v>-3.3098199224824E-4</v>
      </c>
      <c r="K42" s="236">
        <v>-3.1994925917329874E-4</v>
      </c>
      <c r="L42" s="236">
        <v>-3.0891652609835738E-4</v>
      </c>
      <c r="M42" s="236">
        <v>-3.2546562571076943E-4</v>
      </c>
      <c r="N42" s="236">
        <v>-3.1994925917329874E-4</v>
      </c>
      <c r="O42" s="237">
        <v>-3.5084091178313442E-3</v>
      </c>
    </row>
    <row r="43" spans="1:15" x14ac:dyDescent="0.2">
      <c r="A43" s="231"/>
      <c r="B43" s="108" t="s">
        <v>27</v>
      </c>
      <c r="C43" s="235">
        <v>-5.8420720594897163E-3</v>
      </c>
      <c r="D43" s="236">
        <v>-5.9811690132870882E-3</v>
      </c>
      <c r="E43" s="236">
        <v>-5.8420720594897163E-3</v>
      </c>
      <c r="F43" s="236">
        <v>-7.2330415974634528E-3</v>
      </c>
      <c r="G43" s="236">
        <v>-7.2330415974634528E-3</v>
      </c>
      <c r="H43" s="236">
        <v>-7.7894294126529522E-3</v>
      </c>
      <c r="I43" s="236">
        <v>-8.0676233202477011E-3</v>
      </c>
      <c r="J43" s="236">
        <v>-8.3458172278424482E-3</v>
      </c>
      <c r="K43" s="236">
        <v>-8.0676233202477011E-3</v>
      </c>
      <c r="L43" s="236">
        <v>-7.7894294126529522E-3</v>
      </c>
      <c r="M43" s="236">
        <v>-8.2067202740450772E-3</v>
      </c>
      <c r="N43" s="236">
        <v>-8.0676233202477011E-3</v>
      </c>
      <c r="O43" s="237">
        <v>-8.8465662615129961E-2</v>
      </c>
    </row>
    <row r="44" spans="1:15" x14ac:dyDescent="0.2">
      <c r="A44" s="231"/>
      <c r="B44" s="108" t="s">
        <v>50</v>
      </c>
      <c r="C44" s="109">
        <v>2.3610940758003188E-2</v>
      </c>
      <c r="D44" s="97">
        <v>2.4173106014146122E-2</v>
      </c>
      <c r="E44" s="97">
        <v>2.3610940758003188E-2</v>
      </c>
      <c r="F44" s="97">
        <v>2.9232593319432516E-2</v>
      </c>
      <c r="G44" s="97">
        <v>2.9232593319432516E-2</v>
      </c>
      <c r="H44" s="97">
        <v>3.1481254344004249E-2</v>
      </c>
      <c r="I44" s="97">
        <v>3.2605584856290115E-2</v>
      </c>
      <c r="J44" s="97">
        <v>3.3729915368575981E-2</v>
      </c>
      <c r="K44" s="97">
        <v>3.2605584856290115E-2</v>
      </c>
      <c r="L44" s="97">
        <v>3.1481254344004249E-2</v>
      </c>
      <c r="M44" s="97">
        <v>3.3167750112433052E-2</v>
      </c>
      <c r="N44" s="97">
        <v>3.2605584856290115E-2</v>
      </c>
      <c r="O44" s="110">
        <v>0.35753710290690538</v>
      </c>
    </row>
    <row r="45" spans="1:15" x14ac:dyDescent="0.2">
      <c r="A45" s="231"/>
      <c r="B45" s="108" t="s">
        <v>89</v>
      </c>
      <c r="C45" s="109">
        <v>0</v>
      </c>
      <c r="D45" s="97">
        <v>0</v>
      </c>
      <c r="E45" s="97">
        <v>0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7">
        <v>0</v>
      </c>
      <c r="M45" s="97">
        <v>0</v>
      </c>
      <c r="N45" s="97">
        <v>0</v>
      </c>
      <c r="O45" s="110">
        <v>0</v>
      </c>
    </row>
    <row r="46" spans="1:15" x14ac:dyDescent="0.2">
      <c r="A46" s="231"/>
      <c r="B46" s="108" t="s">
        <v>91</v>
      </c>
      <c r="C46" s="109">
        <v>0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v>0</v>
      </c>
      <c r="O46" s="110">
        <v>0</v>
      </c>
    </row>
    <row r="47" spans="1:15" x14ac:dyDescent="0.2">
      <c r="A47" s="98" t="s">
        <v>8</v>
      </c>
      <c r="B47" s="98" t="s">
        <v>71</v>
      </c>
      <c r="C47" s="105">
        <v>3.9429789537238719E-2</v>
      </c>
      <c r="D47" s="106">
        <v>3.7715450861706599E-2</v>
      </c>
      <c r="E47" s="106">
        <v>3.0429511490695099E-2</v>
      </c>
      <c r="F47" s="106">
        <v>3.2572434835110249E-2</v>
      </c>
      <c r="G47" s="106">
        <v>5.7430345630325959E-2</v>
      </c>
      <c r="H47" s="106">
        <v>6.2144776988039288E-2</v>
      </c>
      <c r="I47" s="106">
        <v>6.9002131690167764E-2</v>
      </c>
      <c r="J47" s="106">
        <v>6.6002039007986554E-2</v>
      </c>
      <c r="K47" s="106">
        <v>5.6573176292559903E-2</v>
      </c>
      <c r="L47" s="106">
        <v>3.9001204868355691E-2</v>
      </c>
      <c r="M47" s="106">
        <v>2.8715172815162979E-2</v>
      </c>
      <c r="N47" s="106">
        <v>4.1144128212770838E-2</v>
      </c>
      <c r="O47" s="107">
        <v>0.56016016223011966</v>
      </c>
    </row>
    <row r="48" spans="1:15" x14ac:dyDescent="0.2">
      <c r="A48" s="231"/>
      <c r="B48" s="108" t="s">
        <v>25</v>
      </c>
      <c r="C48" s="235">
        <v>-1.2289414027911123E-2</v>
      </c>
      <c r="D48" s="236">
        <v>-1.175509167887151E-2</v>
      </c>
      <c r="E48" s="236">
        <v>-9.484221695453144E-3</v>
      </c>
      <c r="F48" s="236">
        <v>-1.0152124631752663E-2</v>
      </c>
      <c r="G48" s="236">
        <v>-1.7899798692827061E-2</v>
      </c>
      <c r="H48" s="236">
        <v>-1.9369185152686E-2</v>
      </c>
      <c r="I48" s="236">
        <v>-2.1506474548844454E-2</v>
      </c>
      <c r="J48" s="236">
        <v>-2.0571410438025128E-2</v>
      </c>
      <c r="K48" s="236">
        <v>-1.7632637518307258E-2</v>
      </c>
      <c r="L48" s="236">
        <v>-1.2155833440651215E-2</v>
      </c>
      <c r="M48" s="236">
        <v>-8.9498993464135305E-3</v>
      </c>
      <c r="N48" s="236">
        <v>-1.282373637695073E-2</v>
      </c>
      <c r="O48" s="237">
        <v>-0.17458982754869379</v>
      </c>
    </row>
    <row r="49" spans="1:15" x14ac:dyDescent="0.2">
      <c r="A49" s="231"/>
      <c r="B49" s="108" t="s">
        <v>26</v>
      </c>
      <c r="C49" s="235">
        <v>-5.0750572144730142E-4</v>
      </c>
      <c r="D49" s="236">
        <v>-4.8544025529741874E-4</v>
      </c>
      <c r="E49" s="236">
        <v>-3.9166202416041741E-4</v>
      </c>
      <c r="F49" s="236">
        <v>-4.1924385684777071E-4</v>
      </c>
      <c r="G49" s="236">
        <v>-7.3919311602106946E-4</v>
      </c>
      <c r="H49" s="236">
        <v>-7.9987314793324681E-4</v>
      </c>
      <c r="I49" s="236">
        <v>-8.8813501253277741E-4</v>
      </c>
      <c r="J49" s="236">
        <v>-8.4952044677048279E-4</v>
      </c>
      <c r="K49" s="236">
        <v>-7.2816038294612809E-4</v>
      </c>
      <c r="L49" s="236">
        <v>-5.0198935490983069E-4</v>
      </c>
      <c r="M49" s="236">
        <v>-3.6959655801053473E-4</v>
      </c>
      <c r="N49" s="236">
        <v>-5.2957118759718405E-4</v>
      </c>
      <c r="O49" s="237">
        <v>-7.2098910644741634E-3</v>
      </c>
    </row>
    <row r="50" spans="1:15" x14ac:dyDescent="0.2">
      <c r="A50" s="231"/>
      <c r="B50" s="108" t="s">
        <v>27</v>
      </c>
      <c r="C50" s="235">
        <v>-1.2796919749358425E-2</v>
      </c>
      <c r="D50" s="236">
        <v>-1.2240531934168929E-2</v>
      </c>
      <c r="E50" s="236">
        <v>-9.8758837196135617E-3</v>
      </c>
      <c r="F50" s="236">
        <v>-1.0571368488600434E-2</v>
      </c>
      <c r="G50" s="236">
        <v>-1.8638991808848131E-2</v>
      </c>
      <c r="H50" s="236">
        <v>-2.0169058300619248E-2</v>
      </c>
      <c r="I50" s="236">
        <v>-2.2394609561377232E-2</v>
      </c>
      <c r="J50" s="236">
        <v>-2.142093088479561E-2</v>
      </c>
      <c r="K50" s="236">
        <v>-1.8360797901253386E-2</v>
      </c>
      <c r="L50" s="236">
        <v>-1.2657822795561045E-2</v>
      </c>
      <c r="M50" s="236">
        <v>-9.3194959044240657E-3</v>
      </c>
      <c r="N50" s="236">
        <v>-1.3353307564547914E-2</v>
      </c>
      <c r="O50" s="237">
        <v>-0.18179971861316799</v>
      </c>
    </row>
    <row r="51" spans="1:15" x14ac:dyDescent="0.2">
      <c r="A51" s="231"/>
      <c r="B51" s="108" t="s">
        <v>50</v>
      </c>
      <c r="C51" s="109">
        <v>5.1719203565149842E-2</v>
      </c>
      <c r="D51" s="97">
        <v>4.9470542540578109E-2</v>
      </c>
      <c r="E51" s="97">
        <v>3.9913733186148243E-2</v>
      </c>
      <c r="F51" s="97">
        <v>4.2724559466862912E-2</v>
      </c>
      <c r="G51" s="97">
        <v>7.533014432315302E-2</v>
      </c>
      <c r="H51" s="97">
        <v>8.1513962140725288E-2</v>
      </c>
      <c r="I51" s="97">
        <v>9.0508606239012218E-2</v>
      </c>
      <c r="J51" s="97">
        <v>8.6573449446011683E-2</v>
      </c>
      <c r="K51" s="97">
        <v>7.4205813810867161E-2</v>
      </c>
      <c r="L51" s="97">
        <v>5.1157038309006905E-2</v>
      </c>
      <c r="M51" s="97">
        <v>3.766507216157651E-2</v>
      </c>
      <c r="N51" s="97">
        <v>5.3967864589721568E-2</v>
      </c>
      <c r="O51" s="110">
        <v>0.73474998977881345</v>
      </c>
    </row>
    <row r="52" spans="1:15" x14ac:dyDescent="0.2">
      <c r="A52" s="231"/>
      <c r="B52" s="108" t="s">
        <v>89</v>
      </c>
      <c r="C52" s="109">
        <v>0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97">
        <v>0</v>
      </c>
      <c r="J52" s="97">
        <v>0</v>
      </c>
      <c r="K52" s="97">
        <v>0</v>
      </c>
      <c r="L52" s="97">
        <v>0</v>
      </c>
      <c r="M52" s="97">
        <v>0</v>
      </c>
      <c r="N52" s="97">
        <v>0</v>
      </c>
      <c r="O52" s="110">
        <v>0</v>
      </c>
    </row>
    <row r="53" spans="1:15" x14ac:dyDescent="0.2">
      <c r="A53" s="231"/>
      <c r="B53" s="108" t="s">
        <v>91</v>
      </c>
      <c r="C53" s="109">
        <v>0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97">
        <v>0</v>
      </c>
      <c r="J53" s="97">
        <v>0</v>
      </c>
      <c r="K53" s="97">
        <v>0</v>
      </c>
      <c r="L53" s="97">
        <v>0</v>
      </c>
      <c r="M53" s="97">
        <v>0</v>
      </c>
      <c r="N53" s="97">
        <v>0</v>
      </c>
      <c r="O53" s="110">
        <v>0</v>
      </c>
    </row>
    <row r="54" spans="1:15" x14ac:dyDescent="0.2">
      <c r="A54" s="98" t="s">
        <v>21</v>
      </c>
      <c r="B54" s="98" t="s">
        <v>71</v>
      </c>
      <c r="C54" s="105">
        <v>1.2424669550919027</v>
      </c>
      <c r="D54" s="106">
        <v>1.1824651014482785</v>
      </c>
      <c r="E54" s="106">
        <v>1.0500324387634223</v>
      </c>
      <c r="F54" s="106">
        <v>1.0264602819748558</v>
      </c>
      <c r="G54" s="106">
        <v>1.4923318170507089</v>
      </c>
      <c r="H54" s="106">
        <v>1.7169101835454164</v>
      </c>
      <c r="I54" s="106">
        <v>1.8129131493752151</v>
      </c>
      <c r="J54" s="106">
        <v>1.7790549605334558</v>
      </c>
      <c r="K54" s="106">
        <v>1.6706230393060493</v>
      </c>
      <c r="L54" s="106">
        <v>1.1828936861171615</v>
      </c>
      <c r="M54" s="106">
        <v>1.0976053370094387</v>
      </c>
      <c r="N54" s="106">
        <v>1.3500417069815431</v>
      </c>
      <c r="O54" s="107">
        <v>16.603798657197448</v>
      </c>
    </row>
    <row r="55" spans="1:15" x14ac:dyDescent="0.2">
      <c r="A55" s="231"/>
      <c r="B55" s="108" t="s">
        <v>25</v>
      </c>
      <c r="C55" s="235">
        <v>-0.38725012246646018</v>
      </c>
      <c r="D55" s="236">
        <v>-0.36854884025007362</v>
      </c>
      <c r="E55" s="236">
        <v>-0.3272724387867636</v>
      </c>
      <c r="F55" s="236">
        <v>-0.31992550648746887</v>
      </c>
      <c r="G55" s="236">
        <v>-0.46512760483898385</v>
      </c>
      <c r="H55" s="236">
        <v>-0.53512383256317331</v>
      </c>
      <c r="I55" s="236">
        <v>-0.56504588410939172</v>
      </c>
      <c r="J55" s="236">
        <v>-0.55449301771585935</v>
      </c>
      <c r="K55" s="236">
        <v>-0.52069712913910382</v>
      </c>
      <c r="L55" s="236">
        <v>-0.3686824208373336</v>
      </c>
      <c r="M55" s="236">
        <v>-0.34209988397261282</v>
      </c>
      <c r="N55" s="236">
        <v>-0.42077884986869596</v>
      </c>
      <c r="O55" s="237">
        <v>-5.17504553103592</v>
      </c>
    </row>
    <row r="56" spans="1:15" x14ac:dyDescent="0.2">
      <c r="A56" s="231"/>
      <c r="B56" s="108" t="s">
        <v>26</v>
      </c>
      <c r="C56" s="235">
        <v>-1.5991946592127465E-2</v>
      </c>
      <c r="D56" s="236">
        <v>-1.5219655276881572E-2</v>
      </c>
      <c r="E56" s="236">
        <v>-1.3515098016803135E-2</v>
      </c>
      <c r="F56" s="236">
        <v>-1.3211697857242247E-2</v>
      </c>
      <c r="G56" s="236">
        <v>-1.9207988283472865E-2</v>
      </c>
      <c r="H56" s="236">
        <v>-2.2098564349107494E-2</v>
      </c>
      <c r="I56" s="236">
        <v>-2.3334230453500925E-2</v>
      </c>
      <c r="J56" s="236">
        <v>-2.2898437497040739E-2</v>
      </c>
      <c r="K56" s="236">
        <v>-2.1502796763060664E-2</v>
      </c>
      <c r="L56" s="236">
        <v>-1.5225171643419043E-2</v>
      </c>
      <c r="M56" s="236">
        <v>-1.4127414702462378E-2</v>
      </c>
      <c r="N56" s="236">
        <v>-1.7376554593032601E-2</v>
      </c>
      <c r="O56" s="237">
        <v>-0.21370955602815114</v>
      </c>
    </row>
    <row r="57" spans="1:15" x14ac:dyDescent="0.2">
      <c r="A57" s="231"/>
      <c r="B57" s="108" t="s">
        <v>27</v>
      </c>
      <c r="C57" s="235">
        <v>-0.40324206905858762</v>
      </c>
      <c r="D57" s="236">
        <v>-0.38376849552695519</v>
      </c>
      <c r="E57" s="236">
        <v>-0.34078753680356672</v>
      </c>
      <c r="F57" s="236">
        <v>-0.33313720434471111</v>
      </c>
      <c r="G57" s="236">
        <v>-0.48433559312245672</v>
      </c>
      <c r="H57" s="236">
        <v>-0.55722239691228082</v>
      </c>
      <c r="I57" s="236">
        <v>-0.58838011456289263</v>
      </c>
      <c r="J57" s="236">
        <v>-0.57739145521290014</v>
      </c>
      <c r="K57" s="236">
        <v>-0.54219992590216448</v>
      </c>
      <c r="L57" s="236">
        <v>-0.38390759248075262</v>
      </c>
      <c r="M57" s="236">
        <v>-0.35622729867507519</v>
      </c>
      <c r="N57" s="236">
        <v>-0.43815540446172857</v>
      </c>
      <c r="O57" s="237">
        <v>-5.3887550870640712</v>
      </c>
    </row>
    <row r="58" spans="1:15" x14ac:dyDescent="0.2">
      <c r="A58" s="231"/>
      <c r="B58" s="108" t="s">
        <v>50</v>
      </c>
      <c r="C58" s="109">
        <v>1.6297170775583629</v>
      </c>
      <c r="D58" s="97">
        <v>1.5510139416983522</v>
      </c>
      <c r="E58" s="97">
        <v>1.3773048775501859</v>
      </c>
      <c r="F58" s="97">
        <v>1.3463857884623247</v>
      </c>
      <c r="G58" s="97">
        <v>1.9574594218896928</v>
      </c>
      <c r="H58" s="97">
        <v>2.2520340161085897</v>
      </c>
      <c r="I58" s="97">
        <v>2.3779590334846068</v>
      </c>
      <c r="J58" s="97">
        <v>2.3335479782493151</v>
      </c>
      <c r="K58" s="97">
        <v>2.1913201684451531</v>
      </c>
      <c r="L58" s="97">
        <v>1.5515761069544951</v>
      </c>
      <c r="M58" s="97">
        <v>1.4397052209820516</v>
      </c>
      <c r="N58" s="97">
        <v>1.7708205568502391</v>
      </c>
      <c r="O58" s="110">
        <v>21.778844188233371</v>
      </c>
    </row>
    <row r="59" spans="1:15" x14ac:dyDescent="0.2">
      <c r="A59" s="231"/>
      <c r="B59" s="108" t="s">
        <v>89</v>
      </c>
      <c r="C59" s="109">
        <v>0</v>
      </c>
      <c r="D59" s="97">
        <v>0</v>
      </c>
      <c r="E59" s="97">
        <v>0</v>
      </c>
      <c r="F59" s="97">
        <v>0</v>
      </c>
      <c r="G59" s="97">
        <v>0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  <c r="M59" s="97">
        <v>0</v>
      </c>
      <c r="N59" s="97">
        <v>0</v>
      </c>
      <c r="O59" s="110">
        <v>0</v>
      </c>
    </row>
    <row r="60" spans="1:15" x14ac:dyDescent="0.2">
      <c r="A60" s="231"/>
      <c r="B60" s="108" t="s">
        <v>91</v>
      </c>
      <c r="C60" s="109">
        <v>0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97">
        <v>0</v>
      </c>
      <c r="J60" s="97">
        <v>0</v>
      </c>
      <c r="K60" s="97">
        <v>0</v>
      </c>
      <c r="L60" s="97">
        <v>0</v>
      </c>
      <c r="M60" s="97">
        <v>0</v>
      </c>
      <c r="N60" s="97">
        <v>0</v>
      </c>
      <c r="O60" s="110">
        <v>0</v>
      </c>
    </row>
    <row r="61" spans="1:15" x14ac:dyDescent="0.2">
      <c r="A61" s="98" t="s">
        <v>22</v>
      </c>
      <c r="B61" s="98" t="s">
        <v>71</v>
      </c>
      <c r="C61" s="105">
        <v>1.2518958178073294</v>
      </c>
      <c r="D61" s="106">
        <v>1.2227520603232833</v>
      </c>
      <c r="E61" s="106">
        <v>1.0971767523405558</v>
      </c>
      <c r="F61" s="106">
        <v>1.0431750840612939</v>
      </c>
      <c r="G61" s="106">
        <v>1.3358984129084031</v>
      </c>
      <c r="H61" s="106">
        <v>1.5154753891703925</v>
      </c>
      <c r="I61" s="106">
        <v>1.5840489361916772</v>
      </c>
      <c r="J61" s="106">
        <v>1.5566195173831634</v>
      </c>
      <c r="K61" s="106">
        <v>1.4301870400626697</v>
      </c>
      <c r="L61" s="106">
        <v>1.0697473335320418</v>
      </c>
      <c r="M61" s="106">
        <v>1.0791761962474684</v>
      </c>
      <c r="N61" s="106">
        <v>1.4567592895334174</v>
      </c>
      <c r="O61" s="107">
        <v>15.642911829561696</v>
      </c>
    </row>
    <row r="62" spans="1:15" x14ac:dyDescent="0.2">
      <c r="A62" s="231"/>
      <c r="B62" s="108" t="s">
        <v>25</v>
      </c>
      <c r="C62" s="235">
        <v>-0.39018889538617807</v>
      </c>
      <c r="D62" s="236">
        <v>-0.38110541545250465</v>
      </c>
      <c r="E62" s="236">
        <v>-0.34196630338535283</v>
      </c>
      <c r="F62" s="236">
        <v>-0.32513514939060517</v>
      </c>
      <c r="G62" s="236">
        <v>-0.41637069048911912</v>
      </c>
      <c r="H62" s="236">
        <v>-0.47234095655101882</v>
      </c>
      <c r="I62" s="236">
        <v>-0.49371385051260308</v>
      </c>
      <c r="J62" s="236">
        <v>-0.48516469292796938</v>
      </c>
      <c r="K62" s="236">
        <v>-0.44575841968629781</v>
      </c>
      <c r="L62" s="236">
        <v>-0.33341714580071913</v>
      </c>
      <c r="M62" s="236">
        <v>-0.33635591872043702</v>
      </c>
      <c r="N62" s="236">
        <v>-0.45404041609641199</v>
      </c>
      <c r="O62" s="237">
        <v>-4.8755578543992169</v>
      </c>
    </row>
    <row r="63" spans="1:15" x14ac:dyDescent="0.2">
      <c r="A63" s="231"/>
      <c r="B63" s="108" t="s">
        <v>26</v>
      </c>
      <c r="C63" s="235">
        <v>-1.6113306655951818E-2</v>
      </c>
      <c r="D63" s="236">
        <v>-1.5738193731403814E-2</v>
      </c>
      <c r="E63" s="236">
        <v>-1.4121898335924908E-2</v>
      </c>
      <c r="F63" s="236">
        <v>-1.3426836152203605E-2</v>
      </c>
      <c r="G63" s="236">
        <v>-1.719451449729607E-2</v>
      </c>
      <c r="H63" s="236">
        <v>-1.9505872076496282E-2</v>
      </c>
      <c r="I63" s="236">
        <v>-2.038849072249159E-2</v>
      </c>
      <c r="J63" s="236">
        <v>-2.0035443264093466E-2</v>
      </c>
      <c r="K63" s="236">
        <v>-1.8408115135539617E-2</v>
      </c>
      <c r="L63" s="236">
        <v>-1.3768850877526785E-2</v>
      </c>
      <c r="M63" s="236">
        <v>-1.3890210941351141E-2</v>
      </c>
      <c r="N63" s="236">
        <v>-1.8750129860862799E-2</v>
      </c>
      <c r="O63" s="237">
        <v>-0.2013418622511419</v>
      </c>
    </row>
    <row r="64" spans="1:15" x14ac:dyDescent="0.2">
      <c r="A64" s="231"/>
      <c r="B64" s="108" t="s">
        <v>27</v>
      </c>
      <c r="C64" s="235">
        <v>-0.40630220204212991</v>
      </c>
      <c r="D64" s="236">
        <v>-0.39684360918390849</v>
      </c>
      <c r="E64" s="236">
        <v>-0.35608820172127775</v>
      </c>
      <c r="F64" s="236">
        <v>-0.33856198554280875</v>
      </c>
      <c r="G64" s="236">
        <v>-0.43356520498641521</v>
      </c>
      <c r="H64" s="236">
        <v>-0.49184682862751511</v>
      </c>
      <c r="I64" s="236">
        <v>-0.51410234123509468</v>
      </c>
      <c r="J64" s="236">
        <v>-0.50520013619206283</v>
      </c>
      <c r="K64" s="236">
        <v>-0.46416653482183745</v>
      </c>
      <c r="L64" s="236">
        <v>-0.3471859966782459</v>
      </c>
      <c r="M64" s="236">
        <v>-0.35024612966178814</v>
      </c>
      <c r="N64" s="236">
        <v>-0.47279054595727477</v>
      </c>
      <c r="O64" s="237">
        <v>-5.0768997166503596</v>
      </c>
    </row>
    <row r="65" spans="1:15" x14ac:dyDescent="0.2">
      <c r="A65" s="231"/>
      <c r="B65" s="108" t="s">
        <v>50</v>
      </c>
      <c r="C65" s="109">
        <v>1.6420847131935075</v>
      </c>
      <c r="D65" s="97">
        <v>1.603857475775788</v>
      </c>
      <c r="E65" s="97">
        <v>1.4391430557259086</v>
      </c>
      <c r="F65" s="97">
        <v>1.3683102334518991</v>
      </c>
      <c r="G65" s="97">
        <v>1.7522691033975222</v>
      </c>
      <c r="H65" s="97">
        <v>1.9878163457214113</v>
      </c>
      <c r="I65" s="97">
        <v>2.0777627867042803</v>
      </c>
      <c r="J65" s="97">
        <v>2.0417842103111328</v>
      </c>
      <c r="K65" s="97">
        <v>1.8759454597489675</v>
      </c>
      <c r="L65" s="97">
        <v>1.4031644793327609</v>
      </c>
      <c r="M65" s="97">
        <v>1.4155321149679054</v>
      </c>
      <c r="N65" s="97">
        <v>1.9107997056298294</v>
      </c>
      <c r="O65" s="110">
        <v>20.518469683960916</v>
      </c>
    </row>
    <row r="66" spans="1:15" x14ac:dyDescent="0.2">
      <c r="A66" s="231"/>
      <c r="B66" s="108" t="s">
        <v>89</v>
      </c>
      <c r="C66" s="109">
        <v>0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97">
        <v>0</v>
      </c>
      <c r="J66" s="97">
        <v>0</v>
      </c>
      <c r="K66" s="97">
        <v>0</v>
      </c>
      <c r="L66" s="97">
        <v>0</v>
      </c>
      <c r="M66" s="97">
        <v>0</v>
      </c>
      <c r="N66" s="97">
        <v>0</v>
      </c>
      <c r="O66" s="110">
        <v>0</v>
      </c>
    </row>
    <row r="67" spans="1:15" x14ac:dyDescent="0.2">
      <c r="A67" s="231"/>
      <c r="B67" s="108" t="s">
        <v>91</v>
      </c>
      <c r="C67" s="109">
        <v>0</v>
      </c>
      <c r="D67" s="97">
        <v>0</v>
      </c>
      <c r="E67" s="97">
        <v>0</v>
      </c>
      <c r="F67" s="97">
        <v>0</v>
      </c>
      <c r="G67" s="97">
        <v>0</v>
      </c>
      <c r="H67" s="97">
        <v>0</v>
      </c>
      <c r="I67" s="97">
        <v>0</v>
      </c>
      <c r="J67" s="97">
        <v>0</v>
      </c>
      <c r="K67" s="97">
        <v>0</v>
      </c>
      <c r="L67" s="97">
        <v>0</v>
      </c>
      <c r="M67" s="97">
        <v>0</v>
      </c>
      <c r="N67" s="97">
        <v>0</v>
      </c>
      <c r="O67" s="110">
        <v>0</v>
      </c>
    </row>
    <row r="68" spans="1:15" x14ac:dyDescent="0.2">
      <c r="A68" s="98" t="s">
        <v>9</v>
      </c>
      <c r="B68" s="98" t="s">
        <v>71</v>
      </c>
      <c r="C68" s="105">
        <v>2.1429233444151478E-2</v>
      </c>
      <c r="D68" s="106">
        <v>2.1000648775268447E-2</v>
      </c>
      <c r="E68" s="106">
        <v>1.9286310099736331E-2</v>
      </c>
      <c r="F68" s="106">
        <v>1.4571878742023005E-2</v>
      </c>
      <c r="G68" s="106">
        <v>1.800055609308724E-2</v>
      </c>
      <c r="H68" s="106">
        <v>2.1000648775268447E-2</v>
      </c>
      <c r="I68" s="106">
        <v>2.3143572119683598E-2</v>
      </c>
      <c r="J68" s="106">
        <v>2.0143479437502391E-2</v>
      </c>
      <c r="K68" s="106">
        <v>2.0143479437502391E-2</v>
      </c>
      <c r="L68" s="106">
        <v>1.6714802086438153E-2</v>
      </c>
      <c r="M68" s="106">
        <v>1.9286310099736331E-2</v>
      </c>
      <c r="N68" s="106">
        <v>2.6143664801864804E-2</v>
      </c>
      <c r="O68" s="107">
        <v>0.24086458391226262</v>
      </c>
    </row>
    <row r="69" spans="1:15" x14ac:dyDescent="0.2">
      <c r="A69" s="231"/>
      <c r="B69" s="108" t="s">
        <v>25</v>
      </c>
      <c r="C69" s="235">
        <v>-6.6790293629951716E-3</v>
      </c>
      <c r="D69" s="236">
        <v>-6.54544877573527E-3</v>
      </c>
      <c r="E69" s="236">
        <v>-6.0111264266956566E-3</v>
      </c>
      <c r="F69" s="236">
        <v>-4.5417399668367178E-3</v>
      </c>
      <c r="G69" s="236">
        <v>-5.6103846649159482E-3</v>
      </c>
      <c r="H69" s="236">
        <v>-6.54544877573527E-3</v>
      </c>
      <c r="I69" s="236">
        <v>-7.2133517120347851E-3</v>
      </c>
      <c r="J69" s="236">
        <v>-6.2782876012154633E-3</v>
      </c>
      <c r="K69" s="236">
        <v>-6.2782876012154633E-3</v>
      </c>
      <c r="L69" s="236">
        <v>-5.2096429031362364E-3</v>
      </c>
      <c r="M69" s="236">
        <v>-6.0111264266956566E-3</v>
      </c>
      <c r="N69" s="236">
        <v>-8.1484158228541138E-3</v>
      </c>
      <c r="O69" s="237">
        <v>-7.5072290040065742E-2</v>
      </c>
    </row>
    <row r="70" spans="1:15" x14ac:dyDescent="0.2">
      <c r="A70" s="231"/>
      <c r="B70" s="108" t="s">
        <v>26</v>
      </c>
      <c r="C70" s="235">
        <v>-2.7581832687353333E-4</v>
      </c>
      <c r="D70" s="236">
        <v>-2.7030196033606271E-4</v>
      </c>
      <c r="E70" s="236">
        <v>-2.4823649418618003E-4</v>
      </c>
      <c r="F70" s="236">
        <v>-1.8755646227400271E-4</v>
      </c>
      <c r="G70" s="236">
        <v>-2.3168739457376803E-4</v>
      </c>
      <c r="H70" s="236">
        <v>-2.7030196033606271E-4</v>
      </c>
      <c r="I70" s="236">
        <v>-2.9788379302341607E-4</v>
      </c>
      <c r="J70" s="236">
        <v>-2.5926922726112139E-4</v>
      </c>
      <c r="K70" s="236">
        <v>-2.5926922726112139E-4</v>
      </c>
      <c r="L70" s="236">
        <v>-2.1513829496135601E-4</v>
      </c>
      <c r="M70" s="236">
        <v>-2.4823649418618003E-4</v>
      </c>
      <c r="N70" s="236">
        <v>-3.3649835878571068E-4</v>
      </c>
      <c r="O70" s="237">
        <v>-3.100197994058515E-3</v>
      </c>
    </row>
    <row r="71" spans="1:15" x14ac:dyDescent="0.2">
      <c r="A71" s="231"/>
      <c r="B71" s="108" t="s">
        <v>27</v>
      </c>
      <c r="C71" s="235">
        <v>-6.9548476898687048E-3</v>
      </c>
      <c r="D71" s="236">
        <v>-6.815750736071333E-3</v>
      </c>
      <c r="E71" s="236">
        <v>-6.259362920881837E-3</v>
      </c>
      <c r="F71" s="236">
        <v>-4.7292964291107209E-3</v>
      </c>
      <c r="G71" s="236">
        <v>-5.8420720594897163E-3</v>
      </c>
      <c r="H71" s="236">
        <v>-6.815750736071333E-3</v>
      </c>
      <c r="I71" s="236">
        <v>-7.5112355050582008E-3</v>
      </c>
      <c r="J71" s="236">
        <v>-6.537556828476585E-3</v>
      </c>
      <c r="K71" s="236">
        <v>-6.537556828476585E-3</v>
      </c>
      <c r="L71" s="236">
        <v>-5.4247811980975922E-3</v>
      </c>
      <c r="M71" s="236">
        <v>-6.259362920881837E-3</v>
      </c>
      <c r="N71" s="236">
        <v>-8.4849141816398244E-3</v>
      </c>
      <c r="O71" s="237">
        <v>-7.8172488034124271E-2</v>
      </c>
    </row>
    <row r="72" spans="1:15" x14ac:dyDescent="0.2">
      <c r="A72" s="231"/>
      <c r="B72" s="108" t="s">
        <v>50</v>
      </c>
      <c r="C72" s="109">
        <v>2.810826280714665E-2</v>
      </c>
      <c r="D72" s="97">
        <v>2.7546097551003717E-2</v>
      </c>
      <c r="E72" s="97">
        <v>2.5297436526431988E-2</v>
      </c>
      <c r="F72" s="97">
        <v>1.9113618708859723E-2</v>
      </c>
      <c r="G72" s="97">
        <v>2.3610940758003188E-2</v>
      </c>
      <c r="H72" s="97">
        <v>2.7546097551003717E-2</v>
      </c>
      <c r="I72" s="97">
        <v>3.0356923831718383E-2</v>
      </c>
      <c r="J72" s="97">
        <v>2.6421767038717854E-2</v>
      </c>
      <c r="K72" s="97">
        <v>2.6421767038717854E-2</v>
      </c>
      <c r="L72" s="97">
        <v>2.1924444989574389E-2</v>
      </c>
      <c r="M72" s="97">
        <v>2.5297436526431988E-2</v>
      </c>
      <c r="N72" s="97">
        <v>3.4292080624718918E-2</v>
      </c>
      <c r="O72" s="110">
        <v>0.31593687395232839</v>
      </c>
    </row>
    <row r="73" spans="1:15" x14ac:dyDescent="0.2">
      <c r="A73" s="231"/>
      <c r="B73" s="108" t="s">
        <v>89</v>
      </c>
      <c r="C73" s="109">
        <v>0</v>
      </c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97">
        <v>0</v>
      </c>
      <c r="J73" s="97">
        <v>0</v>
      </c>
      <c r="K73" s="97">
        <v>0</v>
      </c>
      <c r="L73" s="97">
        <v>0</v>
      </c>
      <c r="M73" s="97">
        <v>0</v>
      </c>
      <c r="N73" s="97">
        <v>0</v>
      </c>
      <c r="O73" s="110">
        <v>0</v>
      </c>
    </row>
    <row r="74" spans="1:15" x14ac:dyDescent="0.2">
      <c r="A74" s="231"/>
      <c r="B74" s="108" t="s">
        <v>91</v>
      </c>
      <c r="C74" s="109">
        <v>0</v>
      </c>
      <c r="D74" s="97">
        <v>0</v>
      </c>
      <c r="E74" s="97">
        <v>0</v>
      </c>
      <c r="F74" s="97">
        <v>0</v>
      </c>
      <c r="G74" s="97">
        <v>0</v>
      </c>
      <c r="H74" s="97">
        <v>0</v>
      </c>
      <c r="I74" s="97">
        <v>0</v>
      </c>
      <c r="J74" s="97">
        <v>0</v>
      </c>
      <c r="K74" s="97">
        <v>0</v>
      </c>
      <c r="L74" s="97">
        <v>0</v>
      </c>
      <c r="M74" s="97">
        <v>0</v>
      </c>
      <c r="N74" s="97">
        <v>0</v>
      </c>
      <c r="O74" s="110">
        <v>0</v>
      </c>
    </row>
    <row r="75" spans="1:15" x14ac:dyDescent="0.2">
      <c r="A75" s="98" t="s">
        <v>55</v>
      </c>
      <c r="B75" s="98" t="s">
        <v>71</v>
      </c>
      <c r="C75" s="105">
        <v>5.1858744934846573E-2</v>
      </c>
      <c r="D75" s="106">
        <v>4.6715728908250223E-2</v>
      </c>
      <c r="E75" s="106">
        <v>4.071554354388781E-2</v>
      </c>
      <c r="F75" s="106">
        <v>3.9858374206121747E-2</v>
      </c>
      <c r="G75" s="106">
        <v>5.3573083610378693E-2</v>
      </c>
      <c r="H75" s="106">
        <v>6.8144962352401695E-2</v>
      </c>
      <c r="I75" s="106">
        <v>7.5430901723413199E-2</v>
      </c>
      <c r="J75" s="106">
        <v>7.1573639703465933E-2</v>
      </c>
      <c r="K75" s="106">
        <v>6.5573454339103526E-2</v>
      </c>
      <c r="L75" s="106">
        <v>4.4572805563835076E-2</v>
      </c>
      <c r="M75" s="106">
        <v>4.4572805563835076E-2</v>
      </c>
      <c r="N75" s="106">
        <v>5.9573268974741106E-2</v>
      </c>
      <c r="O75" s="107">
        <v>0.66216331342428059</v>
      </c>
    </row>
    <row r="76" spans="1:15" x14ac:dyDescent="0.2">
      <c r="A76" s="231"/>
      <c r="B76" s="108" t="s">
        <v>25</v>
      </c>
      <c r="C76" s="109">
        <v>-1.6163251058448319E-2</v>
      </c>
      <c r="D76" s="97">
        <v>-1.4560284011329479E-2</v>
      </c>
      <c r="E76" s="97">
        <v>-1.2690155789690828E-2</v>
      </c>
      <c r="F76" s="97">
        <v>-1.2422994615171025E-2</v>
      </c>
      <c r="G76" s="97">
        <v>-1.6697573407487933E-2</v>
      </c>
      <c r="H76" s="97">
        <v>-2.1239313374324664E-2</v>
      </c>
      <c r="I76" s="97">
        <v>-2.351018335774302E-2</v>
      </c>
      <c r="J76" s="97">
        <v>-2.2307958072403877E-2</v>
      </c>
      <c r="K76" s="97">
        <v>-2.0437829850765227E-2</v>
      </c>
      <c r="L76" s="97">
        <v>-1.3892381075029957E-2</v>
      </c>
      <c r="M76" s="97">
        <v>-1.3892381075029957E-2</v>
      </c>
      <c r="N76" s="97">
        <v>-1.856770162912659E-2</v>
      </c>
      <c r="O76" s="110">
        <v>-0.20638200731655088</v>
      </c>
    </row>
    <row r="77" spans="1:15" x14ac:dyDescent="0.2">
      <c r="A77" s="231"/>
      <c r="B77" s="108" t="s">
        <v>26</v>
      </c>
      <c r="C77" s="109">
        <v>-6.6748035103395074E-4</v>
      </c>
      <c r="D77" s="97">
        <v>-6.0128395258430276E-4</v>
      </c>
      <c r="E77" s="97">
        <v>-5.2405482105971342E-4</v>
      </c>
      <c r="F77" s="97">
        <v>-5.1302208798477205E-4</v>
      </c>
      <c r="G77" s="97">
        <v>-6.8954581718383336E-4</v>
      </c>
      <c r="H77" s="97">
        <v>-8.7710227945783615E-4</v>
      </c>
      <c r="I77" s="97">
        <v>-9.7088051059483749E-4</v>
      </c>
      <c r="J77" s="97">
        <v>-9.2123321175760151E-4</v>
      </c>
      <c r="K77" s="97">
        <v>-8.4400408023301205E-4</v>
      </c>
      <c r="L77" s="97">
        <v>-5.737021198969494E-4</v>
      </c>
      <c r="M77" s="97">
        <v>-5.737021198969494E-4</v>
      </c>
      <c r="N77" s="97">
        <v>-7.6677494870842282E-4</v>
      </c>
      <c r="O77" s="110">
        <v>-8.5227863003921808E-3</v>
      </c>
    </row>
    <row r="78" spans="1:15" x14ac:dyDescent="0.2">
      <c r="A78" s="231"/>
      <c r="B78" s="108" t="s">
        <v>27</v>
      </c>
      <c r="C78" s="109">
        <v>-1.6830731409482269E-2</v>
      </c>
      <c r="D78" s="97">
        <v>-1.5161567963913781E-2</v>
      </c>
      <c r="E78" s="97">
        <v>-1.3214210610750541E-2</v>
      </c>
      <c r="F78" s="97">
        <v>-1.2936016703155797E-2</v>
      </c>
      <c r="G78" s="97">
        <v>-1.7387119224671767E-2</v>
      </c>
      <c r="H78" s="97">
        <v>-2.2116415653782501E-2</v>
      </c>
      <c r="I78" s="97">
        <v>-2.4481063868337857E-2</v>
      </c>
      <c r="J78" s="97">
        <v>-2.3229191284161479E-2</v>
      </c>
      <c r="K78" s="97">
        <v>-2.128183393099824E-2</v>
      </c>
      <c r="L78" s="97">
        <v>-1.4466083194926906E-2</v>
      </c>
      <c r="M78" s="97">
        <v>-1.4466083194926906E-2</v>
      </c>
      <c r="N78" s="97">
        <v>-1.9334476577835012E-2</v>
      </c>
      <c r="O78" s="110">
        <v>-0.21490479361694306</v>
      </c>
    </row>
    <row r="79" spans="1:15" x14ac:dyDescent="0.2">
      <c r="A79" s="231"/>
      <c r="B79" s="108" t="s">
        <v>50</v>
      </c>
      <c r="C79" s="109">
        <v>6.8021995993294893E-2</v>
      </c>
      <c r="D79" s="97">
        <v>6.1276012919579702E-2</v>
      </c>
      <c r="E79" s="97">
        <v>5.3405699333578638E-2</v>
      </c>
      <c r="F79" s="97">
        <v>5.2281368821292772E-2</v>
      </c>
      <c r="G79" s="97">
        <v>7.0270657017866625E-2</v>
      </c>
      <c r="H79" s="97">
        <v>8.9384275726726359E-2</v>
      </c>
      <c r="I79" s="97">
        <v>9.8941085081156219E-2</v>
      </c>
      <c r="J79" s="97">
        <v>9.388159777586981E-2</v>
      </c>
      <c r="K79" s="97">
        <v>8.6011284189868753E-2</v>
      </c>
      <c r="L79" s="97">
        <v>5.8465186638865033E-2</v>
      </c>
      <c r="M79" s="97">
        <v>5.8465186638865033E-2</v>
      </c>
      <c r="N79" s="97">
        <v>7.8140970603867696E-2</v>
      </c>
      <c r="O79" s="110">
        <v>0.86854532074083146</v>
      </c>
    </row>
    <row r="80" spans="1:15" x14ac:dyDescent="0.2">
      <c r="A80" s="231"/>
      <c r="B80" s="108" t="s">
        <v>89</v>
      </c>
      <c r="C80" s="109">
        <v>0</v>
      </c>
      <c r="D80" s="97">
        <v>0</v>
      </c>
      <c r="E80" s="97">
        <v>0</v>
      </c>
      <c r="F80" s="97">
        <v>0</v>
      </c>
      <c r="G80" s="97">
        <v>0</v>
      </c>
      <c r="H80" s="97">
        <v>0</v>
      </c>
      <c r="I80" s="97">
        <v>0</v>
      </c>
      <c r="J80" s="97">
        <v>0</v>
      </c>
      <c r="K80" s="97">
        <v>0</v>
      </c>
      <c r="L80" s="97">
        <v>0</v>
      </c>
      <c r="M80" s="97">
        <v>0</v>
      </c>
      <c r="N80" s="97">
        <v>0</v>
      </c>
      <c r="O80" s="110">
        <v>0</v>
      </c>
    </row>
    <row r="81" spans="1:15" x14ac:dyDescent="0.2">
      <c r="A81" s="231"/>
      <c r="B81" s="108" t="s">
        <v>91</v>
      </c>
      <c r="C81" s="109">
        <v>0</v>
      </c>
      <c r="D81" s="97">
        <v>0</v>
      </c>
      <c r="E81" s="97">
        <v>0</v>
      </c>
      <c r="F81" s="97">
        <v>0</v>
      </c>
      <c r="G81" s="97">
        <v>0</v>
      </c>
      <c r="H81" s="97">
        <v>0</v>
      </c>
      <c r="I81" s="97">
        <v>0</v>
      </c>
      <c r="J81" s="97">
        <v>0</v>
      </c>
      <c r="K81" s="97">
        <v>0</v>
      </c>
      <c r="L81" s="97">
        <v>0</v>
      </c>
      <c r="M81" s="97">
        <v>0</v>
      </c>
      <c r="N81" s="97">
        <v>0</v>
      </c>
      <c r="O81" s="110">
        <v>0</v>
      </c>
    </row>
    <row r="82" spans="1:15" x14ac:dyDescent="0.2">
      <c r="A82" s="98" t="s">
        <v>56</v>
      </c>
      <c r="B82" s="98" t="s">
        <v>71</v>
      </c>
      <c r="C82" s="105">
        <v>3.4286773510642365E-3</v>
      </c>
      <c r="D82" s="106">
        <v>4.7144313577133249E-3</v>
      </c>
      <c r="E82" s="106">
        <v>3.8572620199472663E-3</v>
      </c>
      <c r="F82" s="106">
        <v>4.7144313577133249E-3</v>
      </c>
      <c r="G82" s="106">
        <v>4.7144313577133249E-3</v>
      </c>
      <c r="H82" s="106">
        <v>6.0001853643624134E-3</v>
      </c>
      <c r="I82" s="106">
        <v>5.5716006954793845E-3</v>
      </c>
      <c r="J82" s="106">
        <v>5.5716006954793845E-3</v>
      </c>
      <c r="K82" s="106">
        <v>5.5716006954793845E-3</v>
      </c>
      <c r="L82" s="106">
        <v>4.285846688830296E-3</v>
      </c>
      <c r="M82" s="106">
        <v>3.8572620199472663E-3</v>
      </c>
      <c r="N82" s="106">
        <v>3.8572620199472663E-3</v>
      </c>
      <c r="O82" s="107">
        <v>5.6144591623676875E-2</v>
      </c>
    </row>
    <row r="83" spans="1:15" x14ac:dyDescent="0.2">
      <c r="A83" s="231"/>
      <c r="B83" s="108" t="s">
        <v>25</v>
      </c>
      <c r="C83" s="109">
        <v>-1.0686446980792278E-3</v>
      </c>
      <c r="D83" s="97">
        <v>-1.4693864598589387E-3</v>
      </c>
      <c r="E83" s="97">
        <v>-1.2022252853391311E-3</v>
      </c>
      <c r="F83" s="97">
        <v>-1.4693864598589387E-3</v>
      </c>
      <c r="G83" s="97">
        <v>-1.4693864598589387E-3</v>
      </c>
      <c r="H83" s="97">
        <v>-1.8701282216386488E-3</v>
      </c>
      <c r="I83" s="97">
        <v>-1.7365476343787446E-3</v>
      </c>
      <c r="J83" s="97">
        <v>-1.7365476343787446E-3</v>
      </c>
      <c r="K83" s="97">
        <v>-1.7365476343787446E-3</v>
      </c>
      <c r="L83" s="97">
        <v>-1.3358058725990345E-3</v>
      </c>
      <c r="M83" s="97">
        <v>-1.2022252853391311E-3</v>
      </c>
      <c r="N83" s="97">
        <v>-1.2022252853391311E-3</v>
      </c>
      <c r="O83" s="110">
        <v>-1.7499056931047356E-2</v>
      </c>
    </row>
    <row r="84" spans="1:15" x14ac:dyDescent="0.2">
      <c r="A84" s="231"/>
      <c r="B84" s="108" t="s">
        <v>26</v>
      </c>
      <c r="C84" s="109">
        <v>-4.4130932299765342E-5</v>
      </c>
      <c r="D84" s="97">
        <v>-6.0680031912177343E-5</v>
      </c>
      <c r="E84" s="97">
        <v>-4.9647298837236011E-5</v>
      </c>
      <c r="F84" s="97">
        <v>-6.0680031912177343E-5</v>
      </c>
      <c r="G84" s="97">
        <v>-6.0680031912177343E-5</v>
      </c>
      <c r="H84" s="97">
        <v>-7.7229131524589345E-5</v>
      </c>
      <c r="I84" s="97">
        <v>-7.1712764987118675E-5</v>
      </c>
      <c r="J84" s="97">
        <v>-7.1712764987118675E-5</v>
      </c>
      <c r="K84" s="97">
        <v>-7.1712764987118675E-5</v>
      </c>
      <c r="L84" s="97">
        <v>-5.5163665374706674E-5</v>
      </c>
      <c r="M84" s="97">
        <v>-4.9647298837236011E-5</v>
      </c>
      <c r="N84" s="97">
        <v>-4.9647298837236011E-5</v>
      </c>
      <c r="O84" s="110">
        <v>-7.2264401640865746E-4</v>
      </c>
    </row>
    <row r="85" spans="1:15" x14ac:dyDescent="0.2">
      <c r="A85" s="231"/>
      <c r="B85" s="108" t="s">
        <v>27</v>
      </c>
      <c r="C85" s="109">
        <v>-1.112775630378993E-3</v>
      </c>
      <c r="D85" s="97">
        <v>-1.5300664917711161E-3</v>
      </c>
      <c r="E85" s="97">
        <v>-1.2518725841763672E-3</v>
      </c>
      <c r="F85" s="97">
        <v>-1.5300664917711161E-3</v>
      </c>
      <c r="G85" s="97">
        <v>-1.5300664917711161E-3</v>
      </c>
      <c r="H85" s="97">
        <v>-1.9473573531632381E-3</v>
      </c>
      <c r="I85" s="97">
        <v>-1.8082603993658632E-3</v>
      </c>
      <c r="J85" s="97">
        <v>-1.8082603993658632E-3</v>
      </c>
      <c r="K85" s="97">
        <v>-1.8082603993658632E-3</v>
      </c>
      <c r="L85" s="97">
        <v>-1.3909695379737412E-3</v>
      </c>
      <c r="M85" s="97">
        <v>-1.2518725841763672E-3</v>
      </c>
      <c r="N85" s="97">
        <v>-1.2518725841763672E-3</v>
      </c>
      <c r="O85" s="110">
        <v>-1.822170094745601E-2</v>
      </c>
    </row>
    <row r="86" spans="1:15" x14ac:dyDescent="0.2">
      <c r="A86" s="231"/>
      <c r="B86" s="108" t="s">
        <v>50</v>
      </c>
      <c r="C86" s="109">
        <v>4.4973220491434642E-3</v>
      </c>
      <c r="D86" s="97">
        <v>6.1838178175722637E-3</v>
      </c>
      <c r="E86" s="97">
        <v>5.0594873052863974E-3</v>
      </c>
      <c r="F86" s="97">
        <v>6.1838178175722637E-3</v>
      </c>
      <c r="G86" s="97">
        <v>6.1838178175722637E-3</v>
      </c>
      <c r="H86" s="97">
        <v>7.8703135860010622E-3</v>
      </c>
      <c r="I86" s="97">
        <v>7.3081483298581291E-3</v>
      </c>
      <c r="J86" s="97">
        <v>7.3081483298581291E-3</v>
      </c>
      <c r="K86" s="97">
        <v>7.3081483298581291E-3</v>
      </c>
      <c r="L86" s="97">
        <v>5.6216525614293305E-3</v>
      </c>
      <c r="M86" s="97">
        <v>5.0594873052863974E-3</v>
      </c>
      <c r="N86" s="97">
        <v>5.0594873052863974E-3</v>
      </c>
      <c r="O86" s="110">
        <v>7.3643648554724217E-2</v>
      </c>
    </row>
    <row r="87" spans="1:15" x14ac:dyDescent="0.2">
      <c r="A87" s="231"/>
      <c r="B87" s="108" t="s">
        <v>89</v>
      </c>
      <c r="C87" s="109">
        <v>0</v>
      </c>
      <c r="D87" s="97">
        <v>0</v>
      </c>
      <c r="E87" s="97">
        <v>0</v>
      </c>
      <c r="F87" s="97">
        <v>0</v>
      </c>
      <c r="G87" s="97">
        <v>0</v>
      </c>
      <c r="H87" s="97">
        <v>0</v>
      </c>
      <c r="I87" s="97">
        <v>0</v>
      </c>
      <c r="J87" s="97">
        <v>0</v>
      </c>
      <c r="K87" s="97">
        <v>0</v>
      </c>
      <c r="L87" s="97">
        <v>0</v>
      </c>
      <c r="M87" s="97">
        <v>0</v>
      </c>
      <c r="N87" s="97">
        <v>0</v>
      </c>
      <c r="O87" s="110">
        <v>0</v>
      </c>
    </row>
    <row r="88" spans="1:15" x14ac:dyDescent="0.2">
      <c r="A88" s="231"/>
      <c r="B88" s="108" t="s">
        <v>91</v>
      </c>
      <c r="C88" s="109">
        <v>0</v>
      </c>
      <c r="D88" s="97">
        <v>0</v>
      </c>
      <c r="E88" s="97">
        <v>0</v>
      </c>
      <c r="F88" s="97">
        <v>0</v>
      </c>
      <c r="G88" s="97">
        <v>0</v>
      </c>
      <c r="H88" s="97">
        <v>0</v>
      </c>
      <c r="I88" s="97">
        <v>0</v>
      </c>
      <c r="J88" s="97">
        <v>0</v>
      </c>
      <c r="K88" s="97">
        <v>0</v>
      </c>
      <c r="L88" s="97">
        <v>0</v>
      </c>
      <c r="M88" s="97">
        <v>0</v>
      </c>
      <c r="N88" s="97">
        <v>0</v>
      </c>
      <c r="O88" s="110">
        <v>0</v>
      </c>
    </row>
    <row r="89" spans="1:15" x14ac:dyDescent="0.2">
      <c r="A89" s="98" t="s">
        <v>57</v>
      </c>
      <c r="B89" s="98" t="s">
        <v>71</v>
      </c>
      <c r="C89" s="105">
        <v>9.4288627154266499E-3</v>
      </c>
      <c r="D89" s="106">
        <v>9.4288627154266499E-3</v>
      </c>
      <c r="E89" s="106">
        <v>7.7145240398945325E-3</v>
      </c>
      <c r="F89" s="106">
        <v>9.0002780465436201E-3</v>
      </c>
      <c r="G89" s="106">
        <v>1.3286124735373916E-2</v>
      </c>
      <c r="H89" s="106">
        <v>1.6286217417555125E-2</v>
      </c>
      <c r="I89" s="106">
        <v>1.7143386755321184E-2</v>
      </c>
      <c r="J89" s="106">
        <v>1.6286217417555125E-2</v>
      </c>
      <c r="K89" s="106">
        <v>1.5000463410906035E-2</v>
      </c>
      <c r="L89" s="106">
        <v>9.8574473843096796E-3</v>
      </c>
      <c r="M89" s="106">
        <v>7.7145240398945325E-3</v>
      </c>
      <c r="N89" s="106">
        <v>1.1571786059841799E-2</v>
      </c>
      <c r="O89" s="107">
        <v>0.14271869473804885</v>
      </c>
    </row>
    <row r="90" spans="1:15" x14ac:dyDescent="0.2">
      <c r="A90" s="231"/>
      <c r="B90" s="108" t="s">
        <v>25</v>
      </c>
      <c r="C90" s="109">
        <v>-2.9387729197178775E-3</v>
      </c>
      <c r="D90" s="97">
        <v>-2.9387729197178775E-3</v>
      </c>
      <c r="E90" s="97">
        <v>-2.4044505706782623E-3</v>
      </c>
      <c r="F90" s="97">
        <v>-2.8051923324579741E-3</v>
      </c>
      <c r="G90" s="97">
        <v>-4.1409982050570077E-3</v>
      </c>
      <c r="H90" s="97">
        <v>-5.0760623158763313E-3</v>
      </c>
      <c r="I90" s="97">
        <v>-5.343223490396138E-3</v>
      </c>
      <c r="J90" s="97">
        <v>-5.0760623158763313E-3</v>
      </c>
      <c r="K90" s="97">
        <v>-4.6753205540966212E-3</v>
      </c>
      <c r="L90" s="97">
        <v>-3.0723535069777808E-3</v>
      </c>
      <c r="M90" s="97">
        <v>-2.4044505706782623E-3</v>
      </c>
      <c r="N90" s="97">
        <v>-3.6066758560173925E-3</v>
      </c>
      <c r="O90" s="110">
        <v>-4.448233555754786E-2</v>
      </c>
    </row>
    <row r="91" spans="1:15" x14ac:dyDescent="0.2">
      <c r="A91" s="231"/>
      <c r="B91" s="108" t="s">
        <v>26</v>
      </c>
      <c r="C91" s="109">
        <v>-1.2136006382435469E-4</v>
      </c>
      <c r="D91" s="97">
        <v>-1.2136006382435469E-4</v>
      </c>
      <c r="E91" s="97">
        <v>-9.9294597674472022E-5</v>
      </c>
      <c r="F91" s="97">
        <v>-1.1584369728688402E-4</v>
      </c>
      <c r="G91" s="97">
        <v>-1.7100736266159068E-4</v>
      </c>
      <c r="H91" s="97">
        <v>-2.0962192842388536E-4</v>
      </c>
      <c r="I91" s="97">
        <v>-2.2065466149882669E-4</v>
      </c>
      <c r="J91" s="97">
        <v>-2.0962192842388536E-4</v>
      </c>
      <c r="K91" s="97">
        <v>-1.9307282881147336E-4</v>
      </c>
      <c r="L91" s="97">
        <v>-1.2687643036182536E-4</v>
      </c>
      <c r="M91" s="97">
        <v>-9.9294597674472022E-5</v>
      </c>
      <c r="N91" s="97">
        <v>-1.4894189651170803E-4</v>
      </c>
      <c r="O91" s="110">
        <v>-1.8369500569777322E-3</v>
      </c>
    </row>
    <row r="92" spans="1:15" x14ac:dyDescent="0.2">
      <c r="A92" s="231"/>
      <c r="B92" s="108" t="s">
        <v>27</v>
      </c>
      <c r="C92" s="109">
        <v>-3.0601329835422322E-3</v>
      </c>
      <c r="D92" s="97">
        <v>-3.0601329835422322E-3</v>
      </c>
      <c r="E92" s="97">
        <v>-2.5037451683527345E-3</v>
      </c>
      <c r="F92" s="97">
        <v>-2.9210360297448582E-3</v>
      </c>
      <c r="G92" s="97">
        <v>-4.3120055677185985E-3</v>
      </c>
      <c r="H92" s="97">
        <v>-5.2856842443002169E-3</v>
      </c>
      <c r="I92" s="97">
        <v>-5.5638781518949649E-3</v>
      </c>
      <c r="J92" s="97">
        <v>-5.2856842443002169E-3</v>
      </c>
      <c r="K92" s="97">
        <v>-4.8683933829080945E-3</v>
      </c>
      <c r="L92" s="97">
        <v>-3.1992299373396062E-3</v>
      </c>
      <c r="M92" s="97">
        <v>-2.5037451683527345E-3</v>
      </c>
      <c r="N92" s="97">
        <v>-3.7556177525291004E-3</v>
      </c>
      <c r="O92" s="110">
        <v>-4.6319285614525585E-2</v>
      </c>
    </row>
    <row r="93" spans="1:15" x14ac:dyDescent="0.2">
      <c r="A93" s="231"/>
      <c r="B93" s="108" t="s">
        <v>50</v>
      </c>
      <c r="C93" s="109">
        <v>1.2367635635144527E-2</v>
      </c>
      <c r="D93" s="97">
        <v>1.2367635635144527E-2</v>
      </c>
      <c r="E93" s="97">
        <v>1.0118974610572795E-2</v>
      </c>
      <c r="F93" s="97">
        <v>1.1805470379001594E-2</v>
      </c>
      <c r="G93" s="97">
        <v>1.7427122940430924E-2</v>
      </c>
      <c r="H93" s="97">
        <v>2.1362279733431456E-2</v>
      </c>
      <c r="I93" s="97">
        <v>2.2486610245717322E-2</v>
      </c>
      <c r="J93" s="97">
        <v>2.1362279733431456E-2</v>
      </c>
      <c r="K93" s="97">
        <v>1.9675783965002656E-2</v>
      </c>
      <c r="L93" s="97">
        <v>1.292980089128746E-2</v>
      </c>
      <c r="M93" s="97">
        <v>1.0118974610572795E-2</v>
      </c>
      <c r="N93" s="97">
        <v>1.5178461915859191E-2</v>
      </c>
      <c r="O93" s="110">
        <v>0.1872010302955967</v>
      </c>
    </row>
    <row r="94" spans="1:15" x14ac:dyDescent="0.2">
      <c r="A94" s="231"/>
      <c r="B94" s="108" t="s">
        <v>89</v>
      </c>
      <c r="C94" s="109">
        <v>0</v>
      </c>
      <c r="D94" s="97">
        <v>0</v>
      </c>
      <c r="E94" s="97">
        <v>0</v>
      </c>
      <c r="F94" s="97">
        <v>0</v>
      </c>
      <c r="G94" s="97">
        <v>0</v>
      </c>
      <c r="H94" s="97">
        <v>0</v>
      </c>
      <c r="I94" s="97">
        <v>0</v>
      </c>
      <c r="J94" s="97">
        <v>0</v>
      </c>
      <c r="K94" s="97">
        <v>0</v>
      </c>
      <c r="L94" s="97">
        <v>0</v>
      </c>
      <c r="M94" s="97">
        <v>0</v>
      </c>
      <c r="N94" s="97">
        <v>0</v>
      </c>
      <c r="O94" s="110">
        <v>0</v>
      </c>
    </row>
    <row r="95" spans="1:15" x14ac:dyDescent="0.2">
      <c r="A95" s="231"/>
      <c r="B95" s="108" t="s">
        <v>91</v>
      </c>
      <c r="C95" s="109">
        <v>0</v>
      </c>
      <c r="D95" s="97">
        <v>0</v>
      </c>
      <c r="E95" s="97">
        <v>0</v>
      </c>
      <c r="F95" s="97">
        <v>0</v>
      </c>
      <c r="G95" s="97">
        <v>0</v>
      </c>
      <c r="H95" s="97">
        <v>0</v>
      </c>
      <c r="I95" s="97">
        <v>0</v>
      </c>
      <c r="J95" s="97">
        <v>0</v>
      </c>
      <c r="K95" s="97">
        <v>0</v>
      </c>
      <c r="L95" s="97">
        <v>0</v>
      </c>
      <c r="M95" s="97">
        <v>0</v>
      </c>
      <c r="N95" s="97">
        <v>0</v>
      </c>
      <c r="O95" s="110">
        <v>0</v>
      </c>
    </row>
    <row r="96" spans="1:15" x14ac:dyDescent="0.2">
      <c r="A96" s="98" t="s">
        <v>58</v>
      </c>
      <c r="B96" s="98" t="s">
        <v>71</v>
      </c>
      <c r="C96" s="105">
        <v>1.5857632748672093E-2</v>
      </c>
      <c r="D96" s="106">
        <v>1.5857632748672093E-2</v>
      </c>
      <c r="E96" s="106">
        <v>1.0714616722075739E-2</v>
      </c>
      <c r="F96" s="106">
        <v>1.3286124735373916E-2</v>
      </c>
      <c r="G96" s="106">
        <v>1.7143386755321184E-2</v>
      </c>
      <c r="H96" s="106">
        <v>2.0572064106385419E-2</v>
      </c>
      <c r="I96" s="106">
        <v>2.2286402781917538E-2</v>
      </c>
      <c r="J96" s="106">
        <v>2.1429233444151478E-2</v>
      </c>
      <c r="K96" s="106">
        <v>2.0143479437502391E-2</v>
      </c>
      <c r="L96" s="106">
        <v>1.5000463410906035E-2</v>
      </c>
      <c r="M96" s="106">
        <v>1.4571878742023005E-2</v>
      </c>
      <c r="N96" s="106">
        <v>1.4571878742023005E-2</v>
      </c>
      <c r="O96" s="107">
        <v>0.2014347943750239</v>
      </c>
    </row>
    <row r="97" spans="1:15" x14ac:dyDescent="0.2">
      <c r="A97" s="231"/>
      <c r="B97" s="108" t="s">
        <v>25</v>
      </c>
      <c r="C97" s="109">
        <v>-4.9424817286164296E-3</v>
      </c>
      <c r="D97" s="97">
        <v>-4.9424817286164296E-3</v>
      </c>
      <c r="E97" s="97">
        <v>-3.3395146814975858E-3</v>
      </c>
      <c r="F97" s="97">
        <v>-4.1409982050570077E-3</v>
      </c>
      <c r="G97" s="97">
        <v>-5.343223490396138E-3</v>
      </c>
      <c r="H97" s="97">
        <v>-6.4118681884753649E-3</v>
      </c>
      <c r="I97" s="97">
        <v>-6.9461905375149784E-3</v>
      </c>
      <c r="J97" s="97">
        <v>-6.6790293629951716E-3</v>
      </c>
      <c r="K97" s="97">
        <v>-6.2782876012154633E-3</v>
      </c>
      <c r="L97" s="97">
        <v>-4.6753205540966212E-3</v>
      </c>
      <c r="M97" s="97">
        <v>-4.5417399668367178E-3</v>
      </c>
      <c r="N97" s="97">
        <v>-4.5417399668367178E-3</v>
      </c>
      <c r="O97" s="110">
        <v>-6.2782876012154626E-2</v>
      </c>
    </row>
    <row r="98" spans="1:15" x14ac:dyDescent="0.2">
      <c r="A98" s="231"/>
      <c r="B98" s="108" t="s">
        <v>26</v>
      </c>
      <c r="C98" s="109">
        <v>-2.041055618864147E-4</v>
      </c>
      <c r="D98" s="97">
        <v>-2.041055618864147E-4</v>
      </c>
      <c r="E98" s="97">
        <v>-1.3790916343676667E-4</v>
      </c>
      <c r="F98" s="97">
        <v>-1.7100736266159068E-4</v>
      </c>
      <c r="G98" s="97">
        <v>-2.2065466149882669E-4</v>
      </c>
      <c r="H98" s="97">
        <v>-2.6478559379859202E-4</v>
      </c>
      <c r="I98" s="97">
        <v>-2.868510599484747E-4</v>
      </c>
      <c r="J98" s="97">
        <v>-2.7581832687353333E-4</v>
      </c>
      <c r="K98" s="97">
        <v>-2.5926922726112139E-4</v>
      </c>
      <c r="L98" s="97">
        <v>-1.9307282881147336E-4</v>
      </c>
      <c r="M98" s="97">
        <v>-1.8755646227400271E-4</v>
      </c>
      <c r="N98" s="97">
        <v>-1.8755646227400271E-4</v>
      </c>
      <c r="O98" s="110">
        <v>-2.5926922726112133E-3</v>
      </c>
    </row>
    <row r="99" spans="1:15" x14ac:dyDescent="0.2">
      <c r="A99" s="231"/>
      <c r="B99" s="108" t="s">
        <v>27</v>
      </c>
      <c r="C99" s="109">
        <v>-5.1465872905028442E-3</v>
      </c>
      <c r="D99" s="97">
        <v>-5.1465872905028442E-3</v>
      </c>
      <c r="E99" s="97">
        <v>-3.4774238449343524E-3</v>
      </c>
      <c r="F99" s="97">
        <v>-4.3120055677185985E-3</v>
      </c>
      <c r="G99" s="97">
        <v>-5.5638781518949649E-3</v>
      </c>
      <c r="H99" s="97">
        <v>-6.6766537822739568E-3</v>
      </c>
      <c r="I99" s="97">
        <v>-7.2330415974634528E-3</v>
      </c>
      <c r="J99" s="97">
        <v>-6.9548476898687048E-3</v>
      </c>
      <c r="K99" s="97">
        <v>-6.537556828476585E-3</v>
      </c>
      <c r="L99" s="97">
        <v>-4.8683933829080945E-3</v>
      </c>
      <c r="M99" s="97">
        <v>-4.7292964291107209E-3</v>
      </c>
      <c r="N99" s="97">
        <v>-4.7292964291107209E-3</v>
      </c>
      <c r="O99" s="110">
        <v>-6.5375568284765845E-2</v>
      </c>
    </row>
    <row r="100" spans="1:15" x14ac:dyDescent="0.2">
      <c r="A100" s="231"/>
      <c r="B100" s="108" t="s">
        <v>50</v>
      </c>
      <c r="C100" s="109">
        <v>2.0800114477288523E-2</v>
      </c>
      <c r="D100" s="97">
        <v>2.0800114477288523E-2</v>
      </c>
      <c r="E100" s="97">
        <v>1.4054131403573325E-2</v>
      </c>
      <c r="F100" s="97">
        <v>1.7427122940430924E-2</v>
      </c>
      <c r="G100" s="97">
        <v>2.2486610245717322E-2</v>
      </c>
      <c r="H100" s="97">
        <v>2.6983932294860784E-2</v>
      </c>
      <c r="I100" s="97">
        <v>2.9232593319432516E-2</v>
      </c>
      <c r="J100" s="97">
        <v>2.810826280714665E-2</v>
      </c>
      <c r="K100" s="97">
        <v>2.6421767038717854E-2</v>
      </c>
      <c r="L100" s="97">
        <v>1.9675783965002656E-2</v>
      </c>
      <c r="M100" s="97">
        <v>1.9113618708859723E-2</v>
      </c>
      <c r="N100" s="97">
        <v>1.9113618708859723E-2</v>
      </c>
      <c r="O100" s="110">
        <v>0.26421767038717853</v>
      </c>
    </row>
    <row r="101" spans="1:15" x14ac:dyDescent="0.2">
      <c r="A101" s="231"/>
      <c r="B101" s="108" t="s">
        <v>89</v>
      </c>
      <c r="C101" s="109">
        <v>0</v>
      </c>
      <c r="D101" s="97">
        <v>0</v>
      </c>
      <c r="E101" s="97">
        <v>0</v>
      </c>
      <c r="F101" s="97">
        <v>0</v>
      </c>
      <c r="G101" s="97">
        <v>0</v>
      </c>
      <c r="H101" s="97">
        <v>0</v>
      </c>
      <c r="I101" s="97">
        <v>0</v>
      </c>
      <c r="J101" s="97">
        <v>0</v>
      </c>
      <c r="K101" s="97">
        <v>0</v>
      </c>
      <c r="L101" s="97">
        <v>0</v>
      </c>
      <c r="M101" s="97">
        <v>0</v>
      </c>
      <c r="N101" s="97">
        <v>0</v>
      </c>
      <c r="O101" s="110">
        <v>0</v>
      </c>
    </row>
    <row r="102" spans="1:15" x14ac:dyDescent="0.2">
      <c r="A102" s="231"/>
      <c r="B102" s="108" t="s">
        <v>91</v>
      </c>
      <c r="C102" s="109">
        <v>0</v>
      </c>
      <c r="D102" s="97">
        <v>0</v>
      </c>
      <c r="E102" s="97">
        <v>0</v>
      </c>
      <c r="F102" s="97">
        <v>0</v>
      </c>
      <c r="G102" s="97">
        <v>0</v>
      </c>
      <c r="H102" s="97">
        <v>0</v>
      </c>
      <c r="I102" s="97">
        <v>0</v>
      </c>
      <c r="J102" s="97">
        <v>0</v>
      </c>
      <c r="K102" s="97">
        <v>0</v>
      </c>
      <c r="L102" s="97">
        <v>0</v>
      </c>
      <c r="M102" s="97">
        <v>0</v>
      </c>
      <c r="N102" s="97">
        <v>0</v>
      </c>
      <c r="O102" s="110">
        <v>0</v>
      </c>
    </row>
    <row r="103" spans="1:15" x14ac:dyDescent="0.2">
      <c r="A103" s="98" t="s">
        <v>82</v>
      </c>
      <c r="B103" s="98" t="s">
        <v>71</v>
      </c>
      <c r="C103" s="105">
        <v>6.9859301027933821E-2</v>
      </c>
      <c r="D103" s="106">
        <v>6.6430623676869582E-2</v>
      </c>
      <c r="E103" s="106">
        <v>6.0430438312507169E-2</v>
      </c>
      <c r="F103" s="106">
        <v>3.9429789537238719E-2</v>
      </c>
      <c r="G103" s="106">
        <v>5.6144591623676875E-2</v>
      </c>
      <c r="H103" s="106">
        <v>6.5144869670220498E-2</v>
      </c>
      <c r="I103" s="106">
        <v>6.38591156635714E-2</v>
      </c>
      <c r="J103" s="106">
        <v>5.871609963697505E-2</v>
      </c>
      <c r="K103" s="106">
        <v>5.8287514968092022E-2</v>
      </c>
      <c r="L103" s="106">
        <v>3.9001204868355691E-2</v>
      </c>
      <c r="M103" s="106">
        <v>4.8430067583782342E-2</v>
      </c>
      <c r="N103" s="106">
        <v>9.0002780465436208E-2</v>
      </c>
      <c r="O103" s="107">
        <v>0.7157363970346593</v>
      </c>
    </row>
    <row r="104" spans="1:15" x14ac:dyDescent="0.2">
      <c r="A104" s="231"/>
      <c r="B104" s="108" t="s">
        <v>25</v>
      </c>
      <c r="C104" s="109">
        <v>-2.1773635723364257E-2</v>
      </c>
      <c r="D104" s="97">
        <v>-2.0704991025285044E-2</v>
      </c>
      <c r="E104" s="97">
        <v>-1.8834862803646386E-2</v>
      </c>
      <c r="F104" s="97">
        <v>-1.2289414027911123E-2</v>
      </c>
      <c r="G104" s="97">
        <v>-1.7499056931047356E-2</v>
      </c>
      <c r="H104" s="97">
        <v>-2.0304249263505325E-2</v>
      </c>
      <c r="I104" s="97">
        <v>-1.990350750172562E-2</v>
      </c>
      <c r="J104" s="97">
        <v>-1.8300540454606773E-2</v>
      </c>
      <c r="K104" s="97">
        <v>-1.8166959867346871E-2</v>
      </c>
      <c r="L104" s="97">
        <v>-1.2155833440651215E-2</v>
      </c>
      <c r="M104" s="97">
        <v>-1.5094606360369085E-2</v>
      </c>
      <c r="N104" s="97">
        <v>-2.8051923324579731E-2</v>
      </c>
      <c r="O104" s="110">
        <v>-0.22307958072403877</v>
      </c>
    </row>
    <row r="105" spans="1:15" x14ac:dyDescent="0.2">
      <c r="A105" s="231"/>
      <c r="B105" s="108" t="s">
        <v>26</v>
      </c>
      <c r="C105" s="109">
        <v>-8.9916774560771877E-4</v>
      </c>
      <c r="D105" s="97">
        <v>-8.5503681330795342E-4</v>
      </c>
      <c r="E105" s="97">
        <v>-7.7780768178336418E-4</v>
      </c>
      <c r="F105" s="97">
        <v>-5.0750572144730142E-4</v>
      </c>
      <c r="G105" s="97">
        <v>-7.2264401640865746E-4</v>
      </c>
      <c r="H105" s="97">
        <v>-8.3848771369554142E-4</v>
      </c>
      <c r="I105" s="97">
        <v>-8.2193861408312954E-4</v>
      </c>
      <c r="J105" s="97">
        <v>-7.5574221563348145E-4</v>
      </c>
      <c r="K105" s="97">
        <v>-7.5022584909601082E-4</v>
      </c>
      <c r="L105" s="97">
        <v>-5.0198935490983069E-4</v>
      </c>
      <c r="M105" s="97">
        <v>-6.2334941873418549E-4</v>
      </c>
      <c r="N105" s="97">
        <v>-1.1584369728688403E-3</v>
      </c>
      <c r="O105" s="110">
        <v>-9.2123321175760133E-3</v>
      </c>
    </row>
    <row r="106" spans="1:15" x14ac:dyDescent="0.2">
      <c r="A106" s="231"/>
      <c r="B106" s="108" t="s">
        <v>27</v>
      </c>
      <c r="C106" s="109">
        <v>-2.2672803468971974E-2</v>
      </c>
      <c r="D106" s="97">
        <v>-2.1560027838592996E-2</v>
      </c>
      <c r="E106" s="97">
        <v>-1.9612670485429751E-2</v>
      </c>
      <c r="F106" s="97">
        <v>-1.2796919749358425E-2</v>
      </c>
      <c r="G106" s="97">
        <v>-1.8221700947456013E-2</v>
      </c>
      <c r="H106" s="97">
        <v>-2.1142736977200868E-2</v>
      </c>
      <c r="I106" s="97">
        <v>-2.072544611580875E-2</v>
      </c>
      <c r="J106" s="97">
        <v>-1.9056282670240253E-2</v>
      </c>
      <c r="K106" s="97">
        <v>-1.8917185716442884E-2</v>
      </c>
      <c r="L106" s="97">
        <v>-1.2657822795561045E-2</v>
      </c>
      <c r="M106" s="97">
        <v>-1.571795577910327E-2</v>
      </c>
      <c r="N106" s="97">
        <v>-2.921036029744857E-2</v>
      </c>
      <c r="O106" s="110">
        <v>-0.23229191284161482</v>
      </c>
    </row>
    <row r="107" spans="1:15" x14ac:dyDescent="0.2">
      <c r="A107" s="231"/>
      <c r="B107" s="108" t="s">
        <v>50</v>
      </c>
      <c r="C107" s="109">
        <v>9.1632936751298077E-2</v>
      </c>
      <c r="D107" s="97">
        <v>8.7135614702154626E-2</v>
      </c>
      <c r="E107" s="97">
        <v>7.9265301116153555E-2</v>
      </c>
      <c r="F107" s="97">
        <v>5.1719203565149842E-2</v>
      </c>
      <c r="G107" s="97">
        <v>7.3643648554724231E-2</v>
      </c>
      <c r="H107" s="97">
        <v>8.5449118933725823E-2</v>
      </c>
      <c r="I107" s="97">
        <v>8.376262316529702E-2</v>
      </c>
      <c r="J107" s="97">
        <v>7.7016640091581823E-2</v>
      </c>
      <c r="K107" s="97">
        <v>7.6454474835438893E-2</v>
      </c>
      <c r="L107" s="97">
        <v>5.1157038309006905E-2</v>
      </c>
      <c r="M107" s="97">
        <v>6.3524673944151427E-2</v>
      </c>
      <c r="N107" s="97">
        <v>0.11805470379001594</v>
      </c>
      <c r="O107" s="110">
        <v>0.93881597775869807</v>
      </c>
    </row>
    <row r="108" spans="1:15" x14ac:dyDescent="0.2">
      <c r="A108" s="231"/>
      <c r="B108" s="108" t="s">
        <v>89</v>
      </c>
      <c r="C108" s="109">
        <v>0</v>
      </c>
      <c r="D108" s="97">
        <v>0</v>
      </c>
      <c r="E108" s="97">
        <v>0</v>
      </c>
      <c r="F108" s="97">
        <v>0</v>
      </c>
      <c r="G108" s="97">
        <v>0</v>
      </c>
      <c r="H108" s="97">
        <v>0</v>
      </c>
      <c r="I108" s="97">
        <v>0</v>
      </c>
      <c r="J108" s="97">
        <v>0</v>
      </c>
      <c r="K108" s="97">
        <v>0</v>
      </c>
      <c r="L108" s="97">
        <v>0</v>
      </c>
      <c r="M108" s="97">
        <v>0</v>
      </c>
      <c r="N108" s="97">
        <v>0</v>
      </c>
      <c r="O108" s="110">
        <v>0</v>
      </c>
    </row>
    <row r="109" spans="1:15" x14ac:dyDescent="0.2">
      <c r="A109" s="231"/>
      <c r="B109" s="108" t="s">
        <v>91</v>
      </c>
      <c r="C109" s="109">
        <v>0</v>
      </c>
      <c r="D109" s="97">
        <v>0</v>
      </c>
      <c r="E109" s="97">
        <v>0</v>
      </c>
      <c r="F109" s="97">
        <v>0</v>
      </c>
      <c r="G109" s="97">
        <v>0</v>
      </c>
      <c r="H109" s="97">
        <v>0</v>
      </c>
      <c r="I109" s="97">
        <v>0</v>
      </c>
      <c r="J109" s="97">
        <v>0</v>
      </c>
      <c r="K109" s="97">
        <v>0</v>
      </c>
      <c r="L109" s="97">
        <v>0</v>
      </c>
      <c r="M109" s="97">
        <v>0</v>
      </c>
      <c r="N109" s="97">
        <v>0</v>
      </c>
      <c r="O109" s="110">
        <v>0</v>
      </c>
    </row>
    <row r="110" spans="1:15" x14ac:dyDescent="0.2">
      <c r="A110" s="98" t="s">
        <v>85</v>
      </c>
      <c r="B110" s="98" t="s">
        <v>71</v>
      </c>
      <c r="C110" s="105">
        <v>2.0572064106385419E-2</v>
      </c>
      <c r="D110" s="106">
        <v>1.9286310099736331E-2</v>
      </c>
      <c r="E110" s="106">
        <v>1.6286217417555125E-2</v>
      </c>
      <c r="F110" s="106">
        <v>1.1143201390958769E-2</v>
      </c>
      <c r="G110" s="106">
        <v>1.8429140761970272E-2</v>
      </c>
      <c r="H110" s="106">
        <v>2.3143572119683598E-2</v>
      </c>
      <c r="I110" s="106">
        <v>2.4429326126332685E-2</v>
      </c>
      <c r="J110" s="106">
        <v>2.3143572119683598E-2</v>
      </c>
      <c r="K110" s="106">
        <v>2.2714987450800566E-2</v>
      </c>
      <c r="L110" s="106">
        <v>1.3286124735373916E-2</v>
      </c>
      <c r="M110" s="106">
        <v>1.6286217417555125E-2</v>
      </c>
      <c r="N110" s="106">
        <v>2.4857910795215713E-2</v>
      </c>
      <c r="O110" s="107">
        <v>0.2335786445412511</v>
      </c>
    </row>
    <row r="111" spans="1:15" x14ac:dyDescent="0.2">
      <c r="A111" s="231"/>
      <c r="B111" s="108" t="s">
        <v>25</v>
      </c>
      <c r="C111" s="109">
        <v>-6.4118681884753649E-3</v>
      </c>
      <c r="D111" s="97">
        <v>-6.0111264266956566E-3</v>
      </c>
      <c r="E111" s="97">
        <v>-5.0760623158763313E-3</v>
      </c>
      <c r="F111" s="97">
        <v>-3.4730952687574892E-3</v>
      </c>
      <c r="G111" s="97">
        <v>-5.7439652521758498E-3</v>
      </c>
      <c r="H111" s="97">
        <v>-7.2133517120347851E-3</v>
      </c>
      <c r="I111" s="97">
        <v>-7.6140934738145004E-3</v>
      </c>
      <c r="J111" s="97">
        <v>-7.2133517120347851E-3</v>
      </c>
      <c r="K111" s="97">
        <v>-7.0797711247748835E-3</v>
      </c>
      <c r="L111" s="97">
        <v>-4.1409982050570077E-3</v>
      </c>
      <c r="M111" s="97">
        <v>-5.0760623158763313E-3</v>
      </c>
      <c r="N111" s="97">
        <v>-7.747674061074402E-3</v>
      </c>
      <c r="O111" s="110">
        <v>-7.2801420056647387E-2</v>
      </c>
    </row>
    <row r="112" spans="1:15" x14ac:dyDescent="0.2">
      <c r="A112" s="231"/>
      <c r="B112" s="108" t="s">
        <v>26</v>
      </c>
      <c r="C112" s="109">
        <v>-2.6478559379859202E-4</v>
      </c>
      <c r="D112" s="97">
        <v>-2.4823649418618003E-4</v>
      </c>
      <c r="E112" s="97">
        <v>-2.0962192842388536E-4</v>
      </c>
      <c r="F112" s="97">
        <v>-1.4342552997423735E-4</v>
      </c>
      <c r="G112" s="97">
        <v>-2.3720376111123872E-4</v>
      </c>
      <c r="H112" s="97">
        <v>-2.9788379302341607E-4</v>
      </c>
      <c r="I112" s="97">
        <v>-3.1443289263582806E-4</v>
      </c>
      <c r="J112" s="97">
        <v>-2.9788379302341607E-4</v>
      </c>
      <c r="K112" s="97">
        <v>-2.9236742648594538E-4</v>
      </c>
      <c r="L112" s="97">
        <v>-1.7100736266159068E-4</v>
      </c>
      <c r="M112" s="97">
        <v>-2.0962192842388536E-4</v>
      </c>
      <c r="N112" s="97">
        <v>-3.1994925917329874E-4</v>
      </c>
      <c r="O112" s="110">
        <v>-3.0064197629215135E-3</v>
      </c>
    </row>
    <row r="113" spans="1:15" x14ac:dyDescent="0.2">
      <c r="A113" s="231"/>
      <c r="B113" s="108" t="s">
        <v>27</v>
      </c>
      <c r="C113" s="109">
        <v>-6.6766537822739568E-3</v>
      </c>
      <c r="D113" s="97">
        <v>-6.259362920881837E-3</v>
      </c>
      <c r="E113" s="97">
        <v>-5.2856842443002169E-3</v>
      </c>
      <c r="F113" s="97">
        <v>-3.6165207987317264E-3</v>
      </c>
      <c r="G113" s="97">
        <v>-5.9811690132870882E-3</v>
      </c>
      <c r="H113" s="97">
        <v>-7.5112355050582008E-3</v>
      </c>
      <c r="I113" s="97">
        <v>-7.9285263664503284E-3</v>
      </c>
      <c r="J113" s="97">
        <v>-7.5112355050582008E-3</v>
      </c>
      <c r="K113" s="97">
        <v>-7.372138551260829E-3</v>
      </c>
      <c r="L113" s="97">
        <v>-4.3120055677185985E-3</v>
      </c>
      <c r="M113" s="97">
        <v>-5.2856842443002169E-3</v>
      </c>
      <c r="N113" s="97">
        <v>-8.0676233202477011E-3</v>
      </c>
      <c r="O113" s="110">
        <v>-7.5807839819568901E-2</v>
      </c>
    </row>
    <row r="114" spans="1:15" x14ac:dyDescent="0.2">
      <c r="A114" s="231"/>
      <c r="B114" s="108" t="s">
        <v>50</v>
      </c>
      <c r="C114" s="109">
        <v>2.6983932294860784E-2</v>
      </c>
      <c r="D114" s="97">
        <v>2.5297436526431988E-2</v>
      </c>
      <c r="E114" s="97">
        <v>2.1362279733431456E-2</v>
      </c>
      <c r="F114" s="97">
        <v>1.4616296659716258E-2</v>
      </c>
      <c r="G114" s="97">
        <v>2.4173106014146122E-2</v>
      </c>
      <c r="H114" s="97">
        <v>3.0356923831718383E-2</v>
      </c>
      <c r="I114" s="97">
        <v>3.2043419600147185E-2</v>
      </c>
      <c r="J114" s="97">
        <v>3.0356923831718383E-2</v>
      </c>
      <c r="K114" s="97">
        <v>2.9794758575575449E-2</v>
      </c>
      <c r="L114" s="97">
        <v>1.7427122940430924E-2</v>
      </c>
      <c r="M114" s="97">
        <v>2.1362279733431456E-2</v>
      </c>
      <c r="N114" s="97">
        <v>3.2605584856290115E-2</v>
      </c>
      <c r="O114" s="110">
        <v>0.30638006459789852</v>
      </c>
    </row>
    <row r="115" spans="1:15" x14ac:dyDescent="0.2">
      <c r="A115" s="231"/>
      <c r="B115" s="108" t="s">
        <v>89</v>
      </c>
      <c r="C115" s="109">
        <v>0</v>
      </c>
      <c r="D115" s="97">
        <v>0</v>
      </c>
      <c r="E115" s="97">
        <v>0</v>
      </c>
      <c r="F115" s="97">
        <v>0</v>
      </c>
      <c r="G115" s="97">
        <v>0</v>
      </c>
      <c r="H115" s="97">
        <v>0</v>
      </c>
      <c r="I115" s="97">
        <v>0</v>
      </c>
      <c r="J115" s="97">
        <v>0</v>
      </c>
      <c r="K115" s="97">
        <v>0</v>
      </c>
      <c r="L115" s="97">
        <v>0</v>
      </c>
      <c r="M115" s="97">
        <v>0</v>
      </c>
      <c r="N115" s="97">
        <v>0</v>
      </c>
      <c r="O115" s="110">
        <v>0</v>
      </c>
    </row>
    <row r="116" spans="1:15" x14ac:dyDescent="0.2">
      <c r="A116" s="231"/>
      <c r="B116" s="108" t="s">
        <v>91</v>
      </c>
      <c r="C116" s="109">
        <v>0</v>
      </c>
      <c r="D116" s="97">
        <v>0</v>
      </c>
      <c r="E116" s="97">
        <v>0</v>
      </c>
      <c r="F116" s="97">
        <v>0</v>
      </c>
      <c r="G116" s="97">
        <v>0</v>
      </c>
      <c r="H116" s="97">
        <v>0</v>
      </c>
      <c r="I116" s="97">
        <v>0</v>
      </c>
      <c r="J116" s="97">
        <v>0</v>
      </c>
      <c r="K116" s="97">
        <v>0</v>
      </c>
      <c r="L116" s="97">
        <v>0</v>
      </c>
      <c r="M116" s="97">
        <v>0</v>
      </c>
      <c r="N116" s="97">
        <v>0</v>
      </c>
      <c r="O116" s="110">
        <v>0</v>
      </c>
    </row>
    <row r="117" spans="1:15" x14ac:dyDescent="0.2">
      <c r="A117" s="98" t="s">
        <v>72</v>
      </c>
      <c r="B117" s="99"/>
      <c r="C117" s="105">
        <v>3.6249691294126642</v>
      </c>
      <c r="D117" s="106">
        <v>3.5105370228208952</v>
      </c>
      <c r="E117" s="106">
        <v>3.1183820507929232</v>
      </c>
      <c r="F117" s="106">
        <v>2.7686569609843708</v>
      </c>
      <c r="G117" s="106">
        <v>3.7852597955749174</v>
      </c>
      <c r="H117" s="106">
        <v>4.4054218114486599</v>
      </c>
      <c r="I117" s="106">
        <v>4.6145711298635792</v>
      </c>
      <c r="J117" s="106">
        <v>4.497138930589629</v>
      </c>
      <c r="K117" s="106">
        <v>4.1757004289273576</v>
      </c>
      <c r="L117" s="106">
        <v>3.0202361616187101</v>
      </c>
      <c r="M117" s="106">
        <v>3.0918098013221753</v>
      </c>
      <c r="N117" s="106">
        <v>4.2489884073063564</v>
      </c>
      <c r="O117" s="107">
        <v>44.861671630662244</v>
      </c>
    </row>
    <row r="118" spans="1:15" x14ac:dyDescent="0.2">
      <c r="A118" s="98" t="s">
        <v>28</v>
      </c>
      <c r="B118" s="99"/>
      <c r="C118" s="238">
        <v>-1.1298246070442635</v>
      </c>
      <c r="D118" s="239">
        <v>-1.0941585902458693</v>
      </c>
      <c r="E118" s="239">
        <v>-0.97193235290305768</v>
      </c>
      <c r="F118" s="239">
        <v>-0.86293059369897662</v>
      </c>
      <c r="G118" s="239">
        <v>-1.1797837466794674</v>
      </c>
      <c r="H118" s="239">
        <v>-1.3730748564445479</v>
      </c>
      <c r="I118" s="239">
        <v>-1.4382621830273805</v>
      </c>
      <c r="J118" s="239">
        <v>-1.4016611021181673</v>
      </c>
      <c r="K118" s="239">
        <v>-1.3014756616732397</v>
      </c>
      <c r="L118" s="239">
        <v>-0.94134239842053979</v>
      </c>
      <c r="M118" s="239">
        <v>-0.96365035649294373</v>
      </c>
      <c r="N118" s="239">
        <v>-1.3243179420946833</v>
      </c>
      <c r="O118" s="240">
        <v>-13.982414390843134</v>
      </c>
    </row>
    <row r="119" spans="1:15" x14ac:dyDescent="0.2">
      <c r="A119" s="98" t="s">
        <v>29</v>
      </c>
      <c r="B119" s="99"/>
      <c r="C119" s="238">
        <v>-4.6657428173926901E-2</v>
      </c>
      <c r="D119" s="239">
        <v>-4.5184558308422232E-2</v>
      </c>
      <c r="E119" s="239">
        <v>-4.0137082926636578E-2</v>
      </c>
      <c r="F119" s="239">
        <v>-3.5635727832060517E-2</v>
      </c>
      <c r="G119" s="239">
        <v>-4.872054925894094E-2</v>
      </c>
      <c r="H119" s="239">
        <v>-5.6702731638660984E-2</v>
      </c>
      <c r="I119" s="239">
        <v>-5.9394718508946689E-2</v>
      </c>
      <c r="J119" s="239">
        <v>-5.7883234077679709E-2</v>
      </c>
      <c r="K119" s="239">
        <v>-5.374595917457671E-2</v>
      </c>
      <c r="L119" s="239">
        <v>-3.8873834989555794E-2</v>
      </c>
      <c r="M119" s="239">
        <v>-3.9795068201313392E-2</v>
      </c>
      <c r="N119" s="239">
        <v>-5.4689257852484192E-2</v>
      </c>
      <c r="O119" s="240">
        <v>-0.57742015094320442</v>
      </c>
    </row>
    <row r="120" spans="1:15" x14ac:dyDescent="0.2">
      <c r="A120" s="98" t="s">
        <v>30</v>
      </c>
      <c r="B120" s="99"/>
      <c r="C120" s="238">
        <v>-1.1764820352181904</v>
      </c>
      <c r="D120" s="239">
        <v>-1.1393431485542913</v>
      </c>
      <c r="E120" s="239">
        <v>-1.0120694358296942</v>
      </c>
      <c r="F120" s="239">
        <v>-0.8985663215310371</v>
      </c>
      <c r="G120" s="239">
        <v>-1.2285042959384083</v>
      </c>
      <c r="H120" s="239">
        <v>-1.4297775880832091</v>
      </c>
      <c r="I120" s="239">
        <v>-1.4976569015363275</v>
      </c>
      <c r="J120" s="239">
        <v>-1.4595443361958471</v>
      </c>
      <c r="K120" s="239">
        <v>-1.3552216208478165</v>
      </c>
      <c r="L120" s="239">
        <v>-0.98021623341009578</v>
      </c>
      <c r="M120" s="239">
        <v>-1.0034454246942572</v>
      </c>
      <c r="N120" s="239">
        <v>-1.3790071999471671</v>
      </c>
      <c r="O120" s="240">
        <v>-14.559834541786342</v>
      </c>
    </row>
    <row r="121" spans="1:15" x14ac:dyDescent="0.2">
      <c r="A121" s="98" t="s">
        <v>62</v>
      </c>
      <c r="B121" s="99"/>
      <c r="C121" s="105">
        <v>4.7547937364569277</v>
      </c>
      <c r="D121" s="106">
        <v>4.6046956130667649</v>
      </c>
      <c r="E121" s="106">
        <v>4.0903144036959818</v>
      </c>
      <c r="F121" s="106">
        <v>3.6315875546833474</v>
      </c>
      <c r="G121" s="106">
        <v>4.965043542254385</v>
      </c>
      <c r="H121" s="106">
        <v>5.7784966678932088</v>
      </c>
      <c r="I121" s="106">
        <v>6.0528333128909599</v>
      </c>
      <c r="J121" s="106">
        <v>5.8988000327077961</v>
      </c>
      <c r="K121" s="106">
        <v>5.4771760906005964</v>
      </c>
      <c r="L121" s="106">
        <v>3.961578560039249</v>
      </c>
      <c r="M121" s="106">
        <v>4.0554601578151193</v>
      </c>
      <c r="N121" s="106">
        <v>5.5733063494010384</v>
      </c>
      <c r="O121" s="107">
        <v>58.844086021505369</v>
      </c>
    </row>
    <row r="122" spans="1:15" x14ac:dyDescent="0.2">
      <c r="A122" s="98" t="s">
        <v>90</v>
      </c>
      <c r="B122" s="99"/>
      <c r="C122" s="105">
        <v>0</v>
      </c>
      <c r="D122" s="106">
        <v>0</v>
      </c>
      <c r="E122" s="106">
        <v>0</v>
      </c>
      <c r="F122" s="106">
        <v>0</v>
      </c>
      <c r="G122" s="106">
        <v>0</v>
      </c>
      <c r="H122" s="106">
        <v>0</v>
      </c>
      <c r="I122" s="106">
        <v>0</v>
      </c>
      <c r="J122" s="106">
        <v>0</v>
      </c>
      <c r="K122" s="106">
        <v>0</v>
      </c>
      <c r="L122" s="106">
        <v>0</v>
      </c>
      <c r="M122" s="106">
        <v>0</v>
      </c>
      <c r="N122" s="106">
        <v>0</v>
      </c>
      <c r="O122" s="107">
        <v>0</v>
      </c>
    </row>
    <row r="123" spans="1:15" x14ac:dyDescent="0.2">
      <c r="A123" s="111" t="s">
        <v>92</v>
      </c>
      <c r="B123" s="232"/>
      <c r="C123" s="112">
        <v>0</v>
      </c>
      <c r="D123" s="113">
        <v>0</v>
      </c>
      <c r="E123" s="113">
        <v>0</v>
      </c>
      <c r="F123" s="113">
        <v>0</v>
      </c>
      <c r="G123" s="113">
        <v>0</v>
      </c>
      <c r="H123" s="113">
        <v>0</v>
      </c>
      <c r="I123" s="113">
        <v>0</v>
      </c>
      <c r="J123" s="113">
        <v>0</v>
      </c>
      <c r="K123" s="113">
        <v>0</v>
      </c>
      <c r="L123" s="113">
        <v>0</v>
      </c>
      <c r="M123" s="113">
        <v>0</v>
      </c>
      <c r="N123" s="113">
        <v>0</v>
      </c>
      <c r="O123" s="114">
        <v>0</v>
      </c>
    </row>
    <row r="125" spans="1:15" x14ac:dyDescent="0.2">
      <c r="L125" s="234"/>
      <c r="O125" s="234"/>
    </row>
    <row r="126" spans="1:15" x14ac:dyDescent="0.2">
      <c r="L126" s="97"/>
      <c r="O126" s="97"/>
    </row>
  </sheetData>
  <phoneticPr fontId="6" type="noConversion"/>
  <pageMargins left="0.5" right="0.5" top="0.73" bottom="0.98" header="0.5" footer="0.5"/>
  <pageSetup scale="5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zoomScale="80" zoomScaleNormal="80" zoomScaleSheetLayoutView="100" workbookViewId="0">
      <selection activeCell="G22" sqref="G22"/>
    </sheetView>
  </sheetViews>
  <sheetFormatPr defaultColWidth="8.7109375" defaultRowHeight="12.75" x14ac:dyDescent="0.2"/>
  <cols>
    <col min="1" max="1" width="0.5703125" style="1" customWidth="1"/>
    <col min="2" max="2" width="10.28515625" style="1" bestFit="1" customWidth="1"/>
    <col min="3" max="3" width="10.7109375" style="1" bestFit="1" customWidth="1"/>
    <col min="4" max="4" width="11" style="162" customWidth="1"/>
    <col min="5" max="5" width="24.28515625" style="1" customWidth="1"/>
    <col min="6" max="6" width="7.7109375" style="162" customWidth="1"/>
    <col min="7" max="7" width="8" style="162" customWidth="1"/>
    <col min="8" max="8" width="11.140625" style="162" bestFit="1" customWidth="1"/>
    <col min="9" max="9" width="11.28515625" style="163" customWidth="1"/>
    <col min="10" max="10" width="13.7109375" style="162" customWidth="1"/>
    <col min="11" max="11" width="13.5703125" style="164" customWidth="1"/>
    <col min="12" max="12" width="14.7109375" style="162" customWidth="1"/>
    <col min="13" max="13" width="13.42578125" style="125" bestFit="1" customWidth="1"/>
    <col min="14" max="17" width="13.42578125" style="125" customWidth="1"/>
    <col min="18" max="18" width="15.5703125" style="230" customWidth="1"/>
    <col min="19" max="16384" width="8.7109375" style="1"/>
  </cols>
  <sheetData>
    <row r="1" spans="2:18" ht="22.5" x14ac:dyDescent="0.2">
      <c r="B1" s="10" t="s">
        <v>99</v>
      </c>
      <c r="C1" s="115"/>
      <c r="D1" s="116"/>
      <c r="E1" s="115"/>
      <c r="F1" s="117" t="s">
        <v>12</v>
      </c>
      <c r="G1" s="118"/>
      <c r="H1" s="119"/>
      <c r="I1" s="120"/>
      <c r="J1" s="245" t="str">
        <f>"True-Up ARR
(CY"&amp;R1&amp;")"</f>
        <v>True-Up ARR
(CY2022)</v>
      </c>
      <c r="K1" s="245" t="str">
        <f>"Projected ARR
(Jan'"&amp;RIGHT(R$1,2)&amp;" - Dec'"&amp;RIGHT(R$1,2)&amp;")"</f>
        <v>Projected ARR
(Jan'22 - Dec'22)</v>
      </c>
      <c r="L1" s="121" t="s">
        <v>46</v>
      </c>
      <c r="M1" s="122"/>
      <c r="N1" s="52"/>
      <c r="O1" s="52"/>
      <c r="P1" s="52"/>
      <c r="Q1" s="52"/>
      <c r="R1" s="123">
        <v>2022</v>
      </c>
    </row>
    <row r="2" spans="2:18" x14ac:dyDescent="0.2">
      <c r="B2" s="10" t="s">
        <v>53</v>
      </c>
      <c r="C2" s="115"/>
      <c r="D2" s="116"/>
      <c r="E2" s="115"/>
      <c r="F2" s="124">
        <v>1</v>
      </c>
      <c r="G2" s="252"/>
      <c r="H2" s="252"/>
      <c r="I2" s="126" t="s">
        <v>6</v>
      </c>
      <c r="J2" s="127">
        <v>44.8625288</v>
      </c>
      <c r="K2" s="127">
        <v>55</v>
      </c>
      <c r="L2" s="128"/>
      <c r="M2" s="129"/>
      <c r="N2" s="52"/>
      <c r="O2" s="52"/>
      <c r="P2" s="52"/>
      <c r="Q2" s="52"/>
      <c r="R2" s="1"/>
    </row>
    <row r="3" spans="2:18" x14ac:dyDescent="0.2">
      <c r="B3" s="10" t="str">
        <f>"for CY"&amp;R1&amp;" SPP Network Transmission Service"</f>
        <v>for CY2022 SPP Network Transmission Service</v>
      </c>
      <c r="C3" s="115"/>
      <c r="D3" s="116"/>
      <c r="E3" s="115"/>
      <c r="F3" s="124"/>
      <c r="G3" s="252"/>
      <c r="H3" s="252"/>
      <c r="I3" s="126" t="s">
        <v>10</v>
      </c>
      <c r="J3" s="130">
        <v>4.2858466888302956E-4</v>
      </c>
      <c r="K3" s="130">
        <v>5.6216525614293303E-4</v>
      </c>
      <c r="L3" s="131" t="str">
        <f>"Inv. Jan-Dec'"&amp;RIGHT(R1,2)</f>
        <v>Inv. Jan-Dec'22</v>
      </c>
      <c r="M3" s="129"/>
      <c r="N3" s="52"/>
      <c r="O3" s="52"/>
      <c r="P3" s="52"/>
      <c r="Q3" s="52"/>
      <c r="R3" s="1"/>
    </row>
    <row r="4" spans="2:18" x14ac:dyDescent="0.2">
      <c r="B4" s="9"/>
      <c r="C4" s="115"/>
      <c r="D4" s="116"/>
      <c r="E4" s="115"/>
      <c r="F4" s="124"/>
      <c r="G4" s="125"/>
      <c r="H4" s="125"/>
      <c r="I4" s="51"/>
      <c r="J4" s="125"/>
      <c r="K4" s="132"/>
      <c r="L4" s="125"/>
      <c r="M4" s="133"/>
      <c r="R4" s="1"/>
    </row>
    <row r="5" spans="2:18" x14ac:dyDescent="0.2">
      <c r="B5" s="9"/>
      <c r="C5" s="115"/>
      <c r="D5" s="116"/>
      <c r="E5" s="115"/>
      <c r="F5" s="124"/>
      <c r="G5" s="125"/>
      <c r="H5" s="125"/>
      <c r="I5" s="126"/>
      <c r="J5" s="125"/>
      <c r="K5" s="127">
        <v>0</v>
      </c>
      <c r="L5" s="128"/>
      <c r="M5" s="134"/>
      <c r="N5" s="135"/>
      <c r="O5" s="135"/>
      <c r="P5" s="135"/>
      <c r="Q5" s="135"/>
      <c r="R5" s="136"/>
    </row>
    <row r="6" spans="2:18" x14ac:dyDescent="0.2">
      <c r="B6" s="10" t="s">
        <v>23</v>
      </c>
      <c r="D6" s="116"/>
      <c r="E6" s="115"/>
      <c r="F6" s="137"/>
      <c r="G6" s="138"/>
      <c r="H6" s="139"/>
      <c r="I6" s="140"/>
      <c r="J6" s="141"/>
      <c r="K6" s="127">
        <v>0</v>
      </c>
      <c r="L6" s="233"/>
      <c r="M6" s="134"/>
      <c r="N6" s="135"/>
      <c r="O6" s="135"/>
      <c r="P6" s="135"/>
      <c r="Q6" s="135"/>
      <c r="R6" s="1"/>
    </row>
    <row r="7" spans="2:18" x14ac:dyDescent="0.2">
      <c r="B7" s="9" t="s">
        <v>78</v>
      </c>
      <c r="D7" s="116"/>
      <c r="E7" s="115"/>
      <c r="F7" s="124"/>
      <c r="G7" s="253"/>
      <c r="H7" s="252"/>
      <c r="I7" s="126"/>
      <c r="J7" s="142"/>
      <c r="K7" s="128"/>
      <c r="L7" s="128"/>
      <c r="M7" s="143"/>
      <c r="N7" s="144"/>
      <c r="O7" s="144"/>
      <c r="P7" s="144"/>
      <c r="Q7" s="144"/>
      <c r="R7" s="1"/>
    </row>
    <row r="8" spans="2:18" x14ac:dyDescent="0.2">
      <c r="B8" s="10"/>
      <c r="C8" s="115"/>
      <c r="D8" s="116"/>
      <c r="E8" s="115"/>
      <c r="F8" s="124"/>
      <c r="G8" s="252"/>
      <c r="H8" s="252"/>
      <c r="I8" s="126"/>
      <c r="J8" s="145"/>
      <c r="K8" s="128"/>
      <c r="L8" s="146"/>
      <c r="M8" s="129"/>
      <c r="N8" s="52"/>
      <c r="O8" s="52"/>
      <c r="P8" s="52"/>
      <c r="Q8" s="52"/>
      <c r="R8" s="136"/>
    </row>
    <row r="9" spans="2:18" x14ac:dyDescent="0.2">
      <c r="B9" s="147"/>
      <c r="C9" s="115"/>
      <c r="D9" s="116"/>
      <c r="E9" s="115"/>
      <c r="F9" s="124"/>
      <c r="G9" s="125"/>
      <c r="H9" s="125"/>
      <c r="I9" s="148"/>
      <c r="J9" s="149"/>
      <c r="K9" s="150"/>
      <c r="L9" s="151"/>
      <c r="M9" s="129"/>
      <c r="N9" s="52"/>
      <c r="O9" s="52"/>
      <c r="P9" s="52"/>
      <c r="Q9" s="52"/>
      <c r="R9" s="136"/>
    </row>
    <row r="10" spans="2:18" ht="13.5" thickBot="1" x14ac:dyDescent="0.25">
      <c r="B10" s="9"/>
      <c r="D10" s="1"/>
      <c r="E10" s="152"/>
      <c r="F10" s="153"/>
      <c r="G10" s="154"/>
      <c r="H10" s="155"/>
      <c r="I10" s="156"/>
      <c r="J10" s="157"/>
      <c r="K10" s="157"/>
      <c r="L10" s="158"/>
      <c r="M10" s="159"/>
      <c r="R10" s="160"/>
    </row>
    <row r="11" spans="2:18" x14ac:dyDescent="0.2">
      <c r="B11" s="161" t="s">
        <v>102</v>
      </c>
      <c r="E11" s="152"/>
      <c r="L11" s="165"/>
      <c r="M11" s="1"/>
      <c r="N11" s="1"/>
      <c r="O11" s="1"/>
      <c r="P11" s="1"/>
      <c r="Q11" s="1"/>
      <c r="R11" s="136"/>
    </row>
    <row r="12" spans="2:18" x14ac:dyDescent="0.2">
      <c r="E12" s="152"/>
      <c r="L12" s="165"/>
      <c r="R12" s="166" t="s">
        <v>61</v>
      </c>
    </row>
    <row r="13" spans="2:18" x14ac:dyDescent="0.2">
      <c r="E13" s="152"/>
      <c r="F13" s="167"/>
      <c r="G13" s="168"/>
      <c r="H13" s="168"/>
      <c r="I13" s="169" t="s">
        <v>59</v>
      </c>
      <c r="J13" s="170">
        <f t="shared" ref="J13:R13" si="0">SUM(J56:J211)</f>
        <v>11.89922474686843</v>
      </c>
      <c r="K13" s="170">
        <f t="shared" si="0"/>
        <v>15.607956171552379</v>
      </c>
      <c r="L13" s="171">
        <f t="shared" si="0"/>
        <v>-3.7087314246839607</v>
      </c>
      <c r="M13" s="172">
        <f t="shared" si="0"/>
        <v>-0.15315640054633553</v>
      </c>
      <c r="N13" s="170">
        <f t="shared" si="0"/>
        <v>-3.8618878252302959</v>
      </c>
      <c r="O13" s="170">
        <f>SUM(O56:O211)</f>
        <v>0</v>
      </c>
      <c r="P13" s="170">
        <f t="shared" si="0"/>
        <v>0</v>
      </c>
      <c r="Q13" s="170">
        <v>0</v>
      </c>
      <c r="R13" s="171">
        <f t="shared" si="0"/>
        <v>-3.8618878252302959</v>
      </c>
    </row>
    <row r="14" spans="2:18" x14ac:dyDescent="0.2">
      <c r="E14" s="152"/>
      <c r="F14" s="173"/>
      <c r="G14" s="173"/>
      <c r="H14" s="173"/>
      <c r="I14" s="174" t="s">
        <v>60</v>
      </c>
      <c r="J14" s="170">
        <f>SUM(J20:J211)</f>
        <v>44.861671630662222</v>
      </c>
      <c r="K14" s="170">
        <f>SUM(K20:K211)</f>
        <v>58.844086021505341</v>
      </c>
      <c r="L14" s="171">
        <f>SUM(L20:L211)</f>
        <v>-13.982414390843143</v>
      </c>
      <c r="M14" s="241">
        <v>-0.57742015094320465</v>
      </c>
      <c r="N14" s="170">
        <f>SUM(N20:N211)</f>
        <v>-14.559834541786346</v>
      </c>
      <c r="O14" s="170">
        <f>SUM(O20:O211)</f>
        <v>0</v>
      </c>
      <c r="P14" s="170">
        <f>SUM(P20:P211)</f>
        <v>0</v>
      </c>
      <c r="Q14" s="170">
        <v>0</v>
      </c>
      <c r="R14" s="171">
        <f>SUM(R20:R211)</f>
        <v>-14.559834541786346</v>
      </c>
    </row>
    <row r="15" spans="2:18" x14ac:dyDescent="0.2">
      <c r="B15" s="175" t="s">
        <v>84</v>
      </c>
      <c r="E15" s="152"/>
      <c r="J15" s="163"/>
      <c r="L15" s="165"/>
      <c r="M15" s="246"/>
      <c r="N15" s="176"/>
      <c r="O15" s="176"/>
      <c r="P15" s="176"/>
      <c r="Q15" s="176"/>
      <c r="R15" s="177" t="s">
        <v>20</v>
      </c>
    </row>
    <row r="16" spans="2:18" x14ac:dyDescent="0.2">
      <c r="B16" s="178" t="str">
        <f>"** Actual Trued-Up CY"&amp;R1&amp;" Charge reflects "&amp;R1&amp;" True-UP Rate x MW"</f>
        <v>** Actual Trued-Up CY2022 Charge reflects 2022 True-UP Rate x MW</v>
      </c>
      <c r="E16" s="152"/>
      <c r="F16" s="125"/>
      <c r="G16" s="5"/>
      <c r="J16" s="179"/>
      <c r="L16" s="180" t="s">
        <v>11</v>
      </c>
      <c r="M16" s="176"/>
      <c r="N16" s="176"/>
      <c r="O16" s="176"/>
      <c r="P16" s="176"/>
      <c r="Q16" s="176"/>
      <c r="R16" s="181"/>
    </row>
    <row r="17" spans="1:18" x14ac:dyDescent="0.2">
      <c r="B17" s="182" t="s">
        <v>63</v>
      </c>
      <c r="E17" s="152"/>
      <c r="I17" s="183"/>
      <c r="J17" s="184"/>
      <c r="K17" s="185"/>
      <c r="L17" s="185"/>
      <c r="M17" s="185"/>
      <c r="N17" s="185"/>
      <c r="O17" s="185"/>
      <c r="P17" s="185"/>
      <c r="Q17" s="185"/>
      <c r="R17" s="186"/>
    </row>
    <row r="18" spans="1:18" ht="3.6" customHeight="1" x14ac:dyDescent="0.2">
      <c r="I18" s="187"/>
      <c r="J18" s="184"/>
      <c r="K18" s="187"/>
      <c r="L18" s="187"/>
      <c r="M18" s="188"/>
      <c r="N18" s="188"/>
      <c r="O18" s="188"/>
      <c r="P18" s="188"/>
      <c r="Q18" s="188"/>
      <c r="R18" s="189"/>
    </row>
    <row r="19" spans="1:18" ht="38.25" customHeight="1" x14ac:dyDescent="0.2">
      <c r="B19" s="190" t="s">
        <v>54</v>
      </c>
      <c r="C19" s="247" t="s">
        <v>4</v>
      </c>
      <c r="D19" s="247" t="s">
        <v>5</v>
      </c>
      <c r="E19" s="248" t="s">
        <v>0</v>
      </c>
      <c r="F19" s="249" t="s">
        <v>12</v>
      </c>
      <c r="G19" s="250" t="s">
        <v>1</v>
      </c>
      <c r="H19" s="191" t="s">
        <v>49</v>
      </c>
      <c r="I19" s="191" t="s">
        <v>47</v>
      </c>
      <c r="J19" s="192" t="str">
        <f>"True-Up Charge"</f>
        <v>True-Up Charge</v>
      </c>
      <c r="K19" s="192" t="s">
        <v>48</v>
      </c>
      <c r="L19" s="193" t="s">
        <v>3</v>
      </c>
      <c r="M19" s="194" t="s">
        <v>7</v>
      </c>
      <c r="N19" s="195" t="s">
        <v>103</v>
      </c>
      <c r="O19" s="195" t="s">
        <v>86</v>
      </c>
      <c r="P19" s="195" t="s">
        <v>87</v>
      </c>
      <c r="Q19" s="195" t="s">
        <v>88</v>
      </c>
      <c r="R19" s="196" t="s">
        <v>2</v>
      </c>
    </row>
    <row r="20" spans="1:18" s="52" customFormat="1" ht="12.75" customHeight="1" x14ac:dyDescent="0.2">
      <c r="A20" s="125">
        <v>1</v>
      </c>
      <c r="B20" s="197">
        <f>DATE($R$1,A20,1)</f>
        <v>44562</v>
      </c>
      <c r="C20" s="242">
        <v>44595</v>
      </c>
      <c r="D20" s="242">
        <v>44615</v>
      </c>
      <c r="E20" s="198" t="s">
        <v>21</v>
      </c>
      <c r="F20" s="125">
        <v>9</v>
      </c>
      <c r="G20" s="199">
        <v>2899</v>
      </c>
      <c r="H20" s="200">
        <f>+$K$3</f>
        <v>5.6216525614293303E-4</v>
      </c>
      <c r="I20" s="200">
        <f t="shared" ref="I20:I63" si="1">$J$3</f>
        <v>4.2858466888302956E-4</v>
      </c>
      <c r="J20" s="201">
        <f t="shared" ref="J20:J108" si="2">+$G20*I20</f>
        <v>1.2424669550919027</v>
      </c>
      <c r="K20" s="202">
        <f>+$G20*H20</f>
        <v>1.6297170775583629</v>
      </c>
      <c r="L20" s="203">
        <f t="shared" ref="L20:L34" si="3">+J20-K20</f>
        <v>-0.38725012246646018</v>
      </c>
      <c r="M20" s="204">
        <f>G20/$G$212*$M$14</f>
        <v>-1.5991946592127465E-2</v>
      </c>
      <c r="N20" s="205">
        <f>SUM(L20:M20)</f>
        <v>-0.40324206905858762</v>
      </c>
      <c r="O20" s="204">
        <f>+$P$3</f>
        <v>0</v>
      </c>
      <c r="P20" s="204">
        <f>+G20*O20</f>
        <v>0</v>
      </c>
      <c r="Q20" s="204">
        <v>0</v>
      </c>
      <c r="R20" s="205">
        <f>+N20-Q20</f>
        <v>-0.40324206905858762</v>
      </c>
    </row>
    <row r="21" spans="1:18" x14ac:dyDescent="0.2">
      <c r="A21" s="162">
        <v>2</v>
      </c>
      <c r="B21" s="197">
        <f t="shared" ref="B21:B108" si="4">DATE($R$1,A21,1)</f>
        <v>44593</v>
      </c>
      <c r="C21" s="242">
        <v>44623</v>
      </c>
      <c r="D21" s="242">
        <v>44642</v>
      </c>
      <c r="E21" s="206" t="s">
        <v>21</v>
      </c>
      <c r="F21" s="162">
        <v>9</v>
      </c>
      <c r="G21" s="199">
        <v>2759</v>
      </c>
      <c r="H21" s="200">
        <f t="shared" ref="H21:H84" si="5">+$K$3</f>
        <v>5.6216525614293303E-4</v>
      </c>
      <c r="I21" s="200">
        <f t="shared" si="1"/>
        <v>4.2858466888302956E-4</v>
      </c>
      <c r="J21" s="201">
        <f t="shared" si="2"/>
        <v>1.1824651014482785</v>
      </c>
      <c r="K21" s="202">
        <f t="shared" ref="K21:K33" si="6">+$G21*H21</f>
        <v>1.5510139416983522</v>
      </c>
      <c r="L21" s="203">
        <f t="shared" si="3"/>
        <v>-0.36854884025007362</v>
      </c>
      <c r="M21" s="204">
        <f t="shared" ref="M21:M84" si="7">G21/$G$212*$M$14</f>
        <v>-1.5219655276881572E-2</v>
      </c>
      <c r="N21" s="205">
        <f t="shared" ref="N21:N84" si="8">SUM(L21:M21)</f>
        <v>-0.38376849552695519</v>
      </c>
      <c r="O21" s="204">
        <f t="shared" ref="O21:O84" si="9">+$P$3</f>
        <v>0</v>
      </c>
      <c r="P21" s="204">
        <f t="shared" ref="P21:P84" si="10">+G21*O21</f>
        <v>0</v>
      </c>
      <c r="Q21" s="204">
        <v>0</v>
      </c>
      <c r="R21" s="205">
        <f t="shared" ref="R21:R84" si="11">+N21-Q21</f>
        <v>-0.38376849552695519</v>
      </c>
    </row>
    <row r="22" spans="1:18" x14ac:dyDescent="0.2">
      <c r="A22" s="162">
        <v>3</v>
      </c>
      <c r="B22" s="197">
        <f t="shared" si="4"/>
        <v>44621</v>
      </c>
      <c r="C22" s="242">
        <v>44656</v>
      </c>
      <c r="D22" s="242">
        <v>44676</v>
      </c>
      <c r="E22" s="206" t="s">
        <v>21</v>
      </c>
      <c r="F22" s="162">
        <v>9</v>
      </c>
      <c r="G22" s="199">
        <v>2450</v>
      </c>
      <c r="H22" s="200">
        <f t="shared" si="5"/>
        <v>5.6216525614293303E-4</v>
      </c>
      <c r="I22" s="200">
        <f t="shared" si="1"/>
        <v>4.2858466888302956E-4</v>
      </c>
      <c r="J22" s="201">
        <f t="shared" si="2"/>
        <v>1.0500324387634223</v>
      </c>
      <c r="K22" s="202">
        <f t="shared" si="6"/>
        <v>1.3773048775501859</v>
      </c>
      <c r="L22" s="203">
        <f t="shared" si="3"/>
        <v>-0.3272724387867636</v>
      </c>
      <c r="M22" s="204">
        <f t="shared" si="7"/>
        <v>-1.3515098016803135E-2</v>
      </c>
      <c r="N22" s="205">
        <f t="shared" si="8"/>
        <v>-0.34078753680356672</v>
      </c>
      <c r="O22" s="204">
        <f t="shared" si="9"/>
        <v>0</v>
      </c>
      <c r="P22" s="204">
        <f t="shared" si="10"/>
        <v>0</v>
      </c>
      <c r="Q22" s="204">
        <v>0</v>
      </c>
      <c r="R22" s="205">
        <f t="shared" si="11"/>
        <v>-0.34078753680356672</v>
      </c>
    </row>
    <row r="23" spans="1:18" x14ac:dyDescent="0.2">
      <c r="A23" s="125">
        <v>4</v>
      </c>
      <c r="B23" s="197">
        <f t="shared" si="4"/>
        <v>44652</v>
      </c>
      <c r="C23" s="242">
        <v>44685</v>
      </c>
      <c r="D23" s="242">
        <v>44705</v>
      </c>
      <c r="E23" s="206" t="s">
        <v>21</v>
      </c>
      <c r="F23" s="162">
        <v>9</v>
      </c>
      <c r="G23" s="199">
        <v>2395</v>
      </c>
      <c r="H23" s="200">
        <f t="shared" si="5"/>
        <v>5.6216525614293303E-4</v>
      </c>
      <c r="I23" s="200">
        <f t="shared" si="1"/>
        <v>4.2858466888302956E-4</v>
      </c>
      <c r="J23" s="201">
        <f t="shared" si="2"/>
        <v>1.0264602819748558</v>
      </c>
      <c r="K23" s="202">
        <f t="shared" si="6"/>
        <v>1.3463857884623247</v>
      </c>
      <c r="L23" s="203">
        <f t="shared" si="3"/>
        <v>-0.31992550648746887</v>
      </c>
      <c r="M23" s="204">
        <f t="shared" si="7"/>
        <v>-1.3211697857242247E-2</v>
      </c>
      <c r="N23" s="205">
        <f t="shared" si="8"/>
        <v>-0.33313720434471111</v>
      </c>
      <c r="O23" s="204">
        <f t="shared" si="9"/>
        <v>0</v>
      </c>
      <c r="P23" s="204">
        <f t="shared" si="10"/>
        <v>0</v>
      </c>
      <c r="Q23" s="204">
        <v>0</v>
      </c>
      <c r="R23" s="205">
        <f t="shared" si="11"/>
        <v>-0.33313720434471111</v>
      </c>
    </row>
    <row r="24" spans="1:18" ht="12" customHeight="1" x14ac:dyDescent="0.2">
      <c r="A24" s="162">
        <v>5</v>
      </c>
      <c r="B24" s="197">
        <f t="shared" si="4"/>
        <v>44682</v>
      </c>
      <c r="C24" s="242">
        <v>44715</v>
      </c>
      <c r="D24" s="242">
        <v>44735</v>
      </c>
      <c r="E24" s="54" t="s">
        <v>21</v>
      </c>
      <c r="F24" s="162">
        <v>9</v>
      </c>
      <c r="G24" s="199">
        <v>3482</v>
      </c>
      <c r="H24" s="200">
        <f t="shared" si="5"/>
        <v>5.6216525614293303E-4</v>
      </c>
      <c r="I24" s="200">
        <f t="shared" si="1"/>
        <v>4.2858466888302956E-4</v>
      </c>
      <c r="J24" s="201">
        <f t="shared" si="2"/>
        <v>1.4923318170507089</v>
      </c>
      <c r="K24" s="202">
        <f t="shared" si="6"/>
        <v>1.9574594218896928</v>
      </c>
      <c r="L24" s="203">
        <f t="shared" si="3"/>
        <v>-0.46512760483898385</v>
      </c>
      <c r="M24" s="204">
        <f t="shared" si="7"/>
        <v>-1.9207988283472865E-2</v>
      </c>
      <c r="N24" s="205">
        <f t="shared" si="8"/>
        <v>-0.48433559312245672</v>
      </c>
      <c r="O24" s="204">
        <f t="shared" si="9"/>
        <v>0</v>
      </c>
      <c r="P24" s="204">
        <f t="shared" si="10"/>
        <v>0</v>
      </c>
      <c r="Q24" s="204">
        <v>0</v>
      </c>
      <c r="R24" s="205">
        <f t="shared" si="11"/>
        <v>-0.48433559312245672</v>
      </c>
    </row>
    <row r="25" spans="1:18" x14ac:dyDescent="0.2">
      <c r="A25" s="162">
        <v>6</v>
      </c>
      <c r="B25" s="197">
        <f t="shared" si="4"/>
        <v>44713</v>
      </c>
      <c r="C25" s="242">
        <v>44747</v>
      </c>
      <c r="D25" s="242">
        <v>44767</v>
      </c>
      <c r="E25" s="54" t="s">
        <v>21</v>
      </c>
      <c r="F25" s="162">
        <v>9</v>
      </c>
      <c r="G25" s="199">
        <v>4006</v>
      </c>
      <c r="H25" s="200">
        <f t="shared" si="5"/>
        <v>5.6216525614293303E-4</v>
      </c>
      <c r="I25" s="200">
        <f t="shared" si="1"/>
        <v>4.2858466888302956E-4</v>
      </c>
      <c r="J25" s="201">
        <f t="shared" si="2"/>
        <v>1.7169101835454164</v>
      </c>
      <c r="K25" s="202">
        <f t="shared" si="6"/>
        <v>2.2520340161085897</v>
      </c>
      <c r="L25" s="207">
        <f t="shared" si="3"/>
        <v>-0.53512383256317331</v>
      </c>
      <c r="M25" s="204">
        <f t="shared" si="7"/>
        <v>-2.2098564349107494E-2</v>
      </c>
      <c r="N25" s="205">
        <f t="shared" si="8"/>
        <v>-0.55722239691228082</v>
      </c>
      <c r="O25" s="204">
        <f t="shared" si="9"/>
        <v>0</v>
      </c>
      <c r="P25" s="204">
        <f t="shared" si="10"/>
        <v>0</v>
      </c>
      <c r="Q25" s="204">
        <v>0</v>
      </c>
      <c r="R25" s="205">
        <f t="shared" si="11"/>
        <v>-0.55722239691228082</v>
      </c>
    </row>
    <row r="26" spans="1:18" x14ac:dyDescent="0.2">
      <c r="A26" s="125">
        <v>7</v>
      </c>
      <c r="B26" s="197">
        <f t="shared" si="4"/>
        <v>44743</v>
      </c>
      <c r="C26" s="242">
        <v>44776</v>
      </c>
      <c r="D26" s="242">
        <v>44796</v>
      </c>
      <c r="E26" s="54" t="s">
        <v>21</v>
      </c>
      <c r="F26" s="162">
        <v>9</v>
      </c>
      <c r="G26" s="199">
        <v>4230</v>
      </c>
      <c r="H26" s="200">
        <f t="shared" si="5"/>
        <v>5.6216525614293303E-4</v>
      </c>
      <c r="I26" s="200">
        <f t="shared" si="1"/>
        <v>4.2858466888302956E-4</v>
      </c>
      <c r="J26" s="201">
        <f t="shared" si="2"/>
        <v>1.8129131493752151</v>
      </c>
      <c r="K26" s="208">
        <f t="shared" si="6"/>
        <v>2.3779590334846068</v>
      </c>
      <c r="L26" s="207">
        <f t="shared" si="3"/>
        <v>-0.56504588410939172</v>
      </c>
      <c r="M26" s="204">
        <f t="shared" si="7"/>
        <v>-2.3334230453500925E-2</v>
      </c>
      <c r="N26" s="205">
        <f t="shared" si="8"/>
        <v>-0.58838011456289263</v>
      </c>
      <c r="O26" s="204">
        <f t="shared" si="9"/>
        <v>0</v>
      </c>
      <c r="P26" s="204">
        <f t="shared" si="10"/>
        <v>0</v>
      </c>
      <c r="Q26" s="204">
        <v>0</v>
      </c>
      <c r="R26" s="205">
        <f t="shared" si="11"/>
        <v>-0.58838011456289263</v>
      </c>
    </row>
    <row r="27" spans="1:18" x14ac:dyDescent="0.2">
      <c r="A27" s="162">
        <v>8</v>
      </c>
      <c r="B27" s="197">
        <f t="shared" si="4"/>
        <v>44774</v>
      </c>
      <c r="C27" s="242">
        <v>44809</v>
      </c>
      <c r="D27" s="242">
        <v>44827</v>
      </c>
      <c r="E27" s="54" t="s">
        <v>21</v>
      </c>
      <c r="F27" s="162">
        <v>9</v>
      </c>
      <c r="G27" s="199">
        <v>4151</v>
      </c>
      <c r="H27" s="200">
        <f t="shared" si="5"/>
        <v>5.6216525614293303E-4</v>
      </c>
      <c r="I27" s="200">
        <f t="shared" si="1"/>
        <v>4.2858466888302956E-4</v>
      </c>
      <c r="J27" s="201">
        <f t="shared" si="2"/>
        <v>1.7790549605334558</v>
      </c>
      <c r="K27" s="208">
        <f t="shared" si="6"/>
        <v>2.3335479782493151</v>
      </c>
      <c r="L27" s="207">
        <f t="shared" si="3"/>
        <v>-0.55449301771585935</v>
      </c>
      <c r="M27" s="204">
        <f t="shared" si="7"/>
        <v>-2.2898437497040739E-2</v>
      </c>
      <c r="N27" s="205">
        <f t="shared" si="8"/>
        <v>-0.57739145521290014</v>
      </c>
      <c r="O27" s="204">
        <f t="shared" si="9"/>
        <v>0</v>
      </c>
      <c r="P27" s="204">
        <f t="shared" si="10"/>
        <v>0</v>
      </c>
      <c r="Q27" s="204">
        <v>0</v>
      </c>
      <c r="R27" s="205">
        <f t="shared" si="11"/>
        <v>-0.57739145521290014</v>
      </c>
    </row>
    <row r="28" spans="1:18" x14ac:dyDescent="0.2">
      <c r="A28" s="162">
        <v>9</v>
      </c>
      <c r="B28" s="197">
        <f t="shared" si="4"/>
        <v>44805</v>
      </c>
      <c r="C28" s="242">
        <v>44839</v>
      </c>
      <c r="D28" s="242">
        <v>44859</v>
      </c>
      <c r="E28" s="54" t="s">
        <v>21</v>
      </c>
      <c r="F28" s="162">
        <v>9</v>
      </c>
      <c r="G28" s="199">
        <v>3898</v>
      </c>
      <c r="H28" s="200">
        <f t="shared" si="5"/>
        <v>5.6216525614293303E-4</v>
      </c>
      <c r="I28" s="200">
        <f t="shared" si="1"/>
        <v>4.2858466888302956E-4</v>
      </c>
      <c r="J28" s="201">
        <f t="shared" si="2"/>
        <v>1.6706230393060493</v>
      </c>
      <c r="K28" s="208">
        <f t="shared" si="6"/>
        <v>2.1913201684451531</v>
      </c>
      <c r="L28" s="207">
        <f t="shared" si="3"/>
        <v>-0.52069712913910382</v>
      </c>
      <c r="M28" s="204">
        <f t="shared" si="7"/>
        <v>-2.1502796763060664E-2</v>
      </c>
      <c r="N28" s="205">
        <f t="shared" si="8"/>
        <v>-0.54219992590216448</v>
      </c>
      <c r="O28" s="204">
        <f t="shared" si="9"/>
        <v>0</v>
      </c>
      <c r="P28" s="204">
        <f t="shared" si="10"/>
        <v>0</v>
      </c>
      <c r="Q28" s="204">
        <v>0</v>
      </c>
      <c r="R28" s="205">
        <f t="shared" si="11"/>
        <v>-0.54219992590216448</v>
      </c>
    </row>
    <row r="29" spans="1:18" x14ac:dyDescent="0.2">
      <c r="A29" s="125">
        <v>10</v>
      </c>
      <c r="B29" s="197">
        <f t="shared" si="4"/>
        <v>44835</v>
      </c>
      <c r="C29" s="242">
        <v>44868</v>
      </c>
      <c r="D29" s="242">
        <v>44888</v>
      </c>
      <c r="E29" s="54" t="s">
        <v>21</v>
      </c>
      <c r="F29" s="162">
        <v>9</v>
      </c>
      <c r="G29" s="199">
        <v>2760</v>
      </c>
      <c r="H29" s="200">
        <f t="shared" si="5"/>
        <v>5.6216525614293303E-4</v>
      </c>
      <c r="I29" s="200">
        <f t="shared" si="1"/>
        <v>4.2858466888302956E-4</v>
      </c>
      <c r="J29" s="201">
        <f t="shared" si="2"/>
        <v>1.1828936861171615</v>
      </c>
      <c r="K29" s="208">
        <f t="shared" si="6"/>
        <v>1.5515761069544951</v>
      </c>
      <c r="L29" s="207">
        <f t="shared" si="3"/>
        <v>-0.3686824208373336</v>
      </c>
      <c r="M29" s="204">
        <f t="shared" si="7"/>
        <v>-1.5225171643419043E-2</v>
      </c>
      <c r="N29" s="205">
        <f t="shared" si="8"/>
        <v>-0.38390759248075262</v>
      </c>
      <c r="O29" s="204">
        <f t="shared" si="9"/>
        <v>0</v>
      </c>
      <c r="P29" s="204">
        <f t="shared" si="10"/>
        <v>0</v>
      </c>
      <c r="Q29" s="204">
        <v>0</v>
      </c>
      <c r="R29" s="205">
        <f t="shared" si="11"/>
        <v>-0.38390759248075262</v>
      </c>
    </row>
    <row r="30" spans="1:18" x14ac:dyDescent="0.2">
      <c r="A30" s="162">
        <v>11</v>
      </c>
      <c r="B30" s="197">
        <f t="shared" si="4"/>
        <v>44866</v>
      </c>
      <c r="C30" s="242">
        <v>44900</v>
      </c>
      <c r="D30" s="242">
        <v>44918</v>
      </c>
      <c r="E30" s="54" t="s">
        <v>21</v>
      </c>
      <c r="F30" s="162">
        <v>9</v>
      </c>
      <c r="G30" s="199">
        <v>2561</v>
      </c>
      <c r="H30" s="200">
        <f t="shared" si="5"/>
        <v>5.6216525614293303E-4</v>
      </c>
      <c r="I30" s="200">
        <f t="shared" si="1"/>
        <v>4.2858466888302956E-4</v>
      </c>
      <c r="J30" s="201">
        <f t="shared" si="2"/>
        <v>1.0976053370094387</v>
      </c>
      <c r="K30" s="208">
        <f t="shared" si="6"/>
        <v>1.4397052209820516</v>
      </c>
      <c r="L30" s="207">
        <f t="shared" si="3"/>
        <v>-0.34209988397261282</v>
      </c>
      <c r="M30" s="204">
        <f t="shared" si="7"/>
        <v>-1.4127414702462378E-2</v>
      </c>
      <c r="N30" s="205">
        <f t="shared" si="8"/>
        <v>-0.35622729867507519</v>
      </c>
      <c r="O30" s="204">
        <f t="shared" si="9"/>
        <v>0</v>
      </c>
      <c r="P30" s="204">
        <f t="shared" si="10"/>
        <v>0</v>
      </c>
      <c r="Q30" s="204">
        <v>0</v>
      </c>
      <c r="R30" s="205">
        <f t="shared" si="11"/>
        <v>-0.35622729867507519</v>
      </c>
    </row>
    <row r="31" spans="1:18" x14ac:dyDescent="0.2">
      <c r="A31" s="162">
        <v>12</v>
      </c>
      <c r="B31" s="197">
        <f t="shared" si="4"/>
        <v>44896</v>
      </c>
      <c r="C31" s="243">
        <v>44930</v>
      </c>
      <c r="D31" s="244">
        <v>44950</v>
      </c>
      <c r="E31" s="54" t="s">
        <v>21</v>
      </c>
      <c r="F31" s="162">
        <v>9</v>
      </c>
      <c r="G31" s="199">
        <v>3150</v>
      </c>
      <c r="H31" s="209">
        <f t="shared" si="5"/>
        <v>5.6216525614293303E-4</v>
      </c>
      <c r="I31" s="209">
        <f t="shared" si="1"/>
        <v>4.2858466888302956E-4</v>
      </c>
      <c r="J31" s="210">
        <f t="shared" si="2"/>
        <v>1.3500417069815431</v>
      </c>
      <c r="K31" s="211">
        <f t="shared" si="6"/>
        <v>1.7708205568502391</v>
      </c>
      <c r="L31" s="212">
        <f t="shared" si="3"/>
        <v>-0.42077884986869596</v>
      </c>
      <c r="M31" s="204">
        <f t="shared" si="7"/>
        <v>-1.7376554593032601E-2</v>
      </c>
      <c r="N31" s="205">
        <f t="shared" si="8"/>
        <v>-0.43815540446172857</v>
      </c>
      <c r="O31" s="204">
        <f t="shared" si="9"/>
        <v>0</v>
      </c>
      <c r="P31" s="204">
        <f t="shared" si="10"/>
        <v>0</v>
      </c>
      <c r="Q31" s="204">
        <v>0</v>
      </c>
      <c r="R31" s="205">
        <f t="shared" si="11"/>
        <v>-0.43815540446172857</v>
      </c>
    </row>
    <row r="32" spans="1:18" x14ac:dyDescent="0.2">
      <c r="A32" s="125">
        <v>1</v>
      </c>
      <c r="B32" s="213">
        <f t="shared" si="4"/>
        <v>44562</v>
      </c>
      <c r="C32" s="214">
        <f t="shared" ref="C32:D43" si="12">+C20</f>
        <v>44595</v>
      </c>
      <c r="D32" s="214">
        <f t="shared" si="12"/>
        <v>44615</v>
      </c>
      <c r="E32" s="215" t="s">
        <v>22</v>
      </c>
      <c r="F32" s="216">
        <v>9</v>
      </c>
      <c r="G32" s="199">
        <v>2921</v>
      </c>
      <c r="H32" s="200">
        <f>+$K$3</f>
        <v>5.6216525614293303E-4</v>
      </c>
      <c r="I32" s="200">
        <f t="shared" si="1"/>
        <v>4.2858466888302956E-4</v>
      </c>
      <c r="J32" s="201">
        <f t="shared" si="2"/>
        <v>1.2518958178073294</v>
      </c>
      <c r="K32" s="202">
        <f t="shared" si="6"/>
        <v>1.6420847131935075</v>
      </c>
      <c r="L32" s="203">
        <f t="shared" si="3"/>
        <v>-0.39018889538617807</v>
      </c>
      <c r="M32" s="204">
        <f t="shared" si="7"/>
        <v>-1.6113306655951818E-2</v>
      </c>
      <c r="N32" s="205">
        <f t="shared" si="8"/>
        <v>-0.40630220204212991</v>
      </c>
      <c r="O32" s="204">
        <f t="shared" si="9"/>
        <v>0</v>
      </c>
      <c r="P32" s="204">
        <f t="shared" si="10"/>
        <v>0</v>
      </c>
      <c r="Q32" s="204">
        <v>0</v>
      </c>
      <c r="R32" s="205">
        <f t="shared" si="11"/>
        <v>-0.40630220204212991</v>
      </c>
    </row>
    <row r="33" spans="1:18" x14ac:dyDescent="0.2">
      <c r="A33" s="162">
        <v>2</v>
      </c>
      <c r="B33" s="197">
        <f t="shared" si="4"/>
        <v>44593</v>
      </c>
      <c r="C33" s="217">
        <f t="shared" si="12"/>
        <v>44623</v>
      </c>
      <c r="D33" s="217">
        <f t="shared" si="12"/>
        <v>44642</v>
      </c>
      <c r="E33" s="206" t="s">
        <v>22</v>
      </c>
      <c r="F33" s="162">
        <v>9</v>
      </c>
      <c r="G33" s="199">
        <v>2853</v>
      </c>
      <c r="H33" s="200">
        <f t="shared" si="5"/>
        <v>5.6216525614293303E-4</v>
      </c>
      <c r="I33" s="200">
        <f t="shared" si="1"/>
        <v>4.2858466888302956E-4</v>
      </c>
      <c r="J33" s="201">
        <f t="shared" si="2"/>
        <v>1.2227520603232833</v>
      </c>
      <c r="K33" s="202">
        <f t="shared" si="6"/>
        <v>1.603857475775788</v>
      </c>
      <c r="L33" s="203">
        <f t="shared" si="3"/>
        <v>-0.38110541545250465</v>
      </c>
      <c r="M33" s="204">
        <f t="shared" si="7"/>
        <v>-1.5738193731403814E-2</v>
      </c>
      <c r="N33" s="205">
        <f t="shared" si="8"/>
        <v>-0.39684360918390849</v>
      </c>
      <c r="O33" s="204">
        <f t="shared" si="9"/>
        <v>0</v>
      </c>
      <c r="P33" s="204">
        <f t="shared" si="10"/>
        <v>0</v>
      </c>
      <c r="Q33" s="204">
        <v>0</v>
      </c>
      <c r="R33" s="205">
        <f t="shared" si="11"/>
        <v>-0.39684360918390849</v>
      </c>
    </row>
    <row r="34" spans="1:18" x14ac:dyDescent="0.2">
      <c r="A34" s="162">
        <v>3</v>
      </c>
      <c r="B34" s="197">
        <f t="shared" si="4"/>
        <v>44621</v>
      </c>
      <c r="C34" s="217">
        <f t="shared" si="12"/>
        <v>44656</v>
      </c>
      <c r="D34" s="217">
        <f t="shared" si="12"/>
        <v>44676</v>
      </c>
      <c r="E34" s="206" t="s">
        <v>22</v>
      </c>
      <c r="F34" s="162">
        <v>9</v>
      </c>
      <c r="G34" s="199">
        <v>2560</v>
      </c>
      <c r="H34" s="200">
        <f t="shared" si="5"/>
        <v>5.6216525614293303E-4</v>
      </c>
      <c r="I34" s="200">
        <f t="shared" si="1"/>
        <v>4.2858466888302956E-4</v>
      </c>
      <c r="J34" s="201">
        <f t="shared" si="2"/>
        <v>1.0971767523405558</v>
      </c>
      <c r="K34" s="202">
        <f t="shared" ref="K34:K93" si="13">+$G34*H34</f>
        <v>1.4391430557259086</v>
      </c>
      <c r="L34" s="203">
        <f t="shared" si="3"/>
        <v>-0.34196630338535283</v>
      </c>
      <c r="M34" s="204">
        <f t="shared" si="7"/>
        <v>-1.4121898335924908E-2</v>
      </c>
      <c r="N34" s="205">
        <f t="shared" si="8"/>
        <v>-0.35608820172127775</v>
      </c>
      <c r="O34" s="204">
        <f t="shared" si="9"/>
        <v>0</v>
      </c>
      <c r="P34" s="204">
        <f t="shared" si="10"/>
        <v>0</v>
      </c>
      <c r="Q34" s="204">
        <v>0</v>
      </c>
      <c r="R34" s="205">
        <f t="shared" si="11"/>
        <v>-0.35608820172127775</v>
      </c>
    </row>
    <row r="35" spans="1:18" x14ac:dyDescent="0.2">
      <c r="A35" s="125">
        <v>4</v>
      </c>
      <c r="B35" s="197">
        <f t="shared" si="4"/>
        <v>44652</v>
      </c>
      <c r="C35" s="217">
        <f t="shared" si="12"/>
        <v>44685</v>
      </c>
      <c r="D35" s="217">
        <f t="shared" si="12"/>
        <v>44705</v>
      </c>
      <c r="E35" s="206" t="s">
        <v>22</v>
      </c>
      <c r="F35" s="162">
        <v>9</v>
      </c>
      <c r="G35" s="199">
        <v>2434</v>
      </c>
      <c r="H35" s="200">
        <f t="shared" si="5"/>
        <v>5.6216525614293303E-4</v>
      </c>
      <c r="I35" s="200">
        <f t="shared" si="1"/>
        <v>4.2858466888302956E-4</v>
      </c>
      <c r="J35" s="201">
        <f t="shared" si="2"/>
        <v>1.0431750840612939</v>
      </c>
      <c r="K35" s="202">
        <f t="shared" si="13"/>
        <v>1.3683102334518991</v>
      </c>
      <c r="L35" s="203">
        <f t="shared" ref="L35:L57" si="14">+J35-K35</f>
        <v>-0.32513514939060517</v>
      </c>
      <c r="M35" s="204">
        <f t="shared" si="7"/>
        <v>-1.3426836152203605E-2</v>
      </c>
      <c r="N35" s="205">
        <f t="shared" si="8"/>
        <v>-0.33856198554280875</v>
      </c>
      <c r="O35" s="204">
        <f t="shared" si="9"/>
        <v>0</v>
      </c>
      <c r="P35" s="204">
        <f t="shared" si="10"/>
        <v>0</v>
      </c>
      <c r="Q35" s="204">
        <v>0</v>
      </c>
      <c r="R35" s="205">
        <f t="shared" si="11"/>
        <v>-0.33856198554280875</v>
      </c>
    </row>
    <row r="36" spans="1:18" x14ac:dyDescent="0.2">
      <c r="A36" s="162">
        <v>5</v>
      </c>
      <c r="B36" s="197">
        <f t="shared" si="4"/>
        <v>44682</v>
      </c>
      <c r="C36" s="217">
        <f t="shared" si="12"/>
        <v>44715</v>
      </c>
      <c r="D36" s="217">
        <f t="shared" si="12"/>
        <v>44735</v>
      </c>
      <c r="E36" s="54" t="s">
        <v>22</v>
      </c>
      <c r="F36" s="162">
        <v>9</v>
      </c>
      <c r="G36" s="199">
        <v>3117</v>
      </c>
      <c r="H36" s="200">
        <f t="shared" si="5"/>
        <v>5.6216525614293303E-4</v>
      </c>
      <c r="I36" s="200">
        <f t="shared" si="1"/>
        <v>4.2858466888302956E-4</v>
      </c>
      <c r="J36" s="201">
        <f t="shared" si="2"/>
        <v>1.3358984129084031</v>
      </c>
      <c r="K36" s="202">
        <f t="shared" si="13"/>
        <v>1.7522691033975222</v>
      </c>
      <c r="L36" s="203">
        <f t="shared" si="14"/>
        <v>-0.41637069048911912</v>
      </c>
      <c r="M36" s="204">
        <f t="shared" si="7"/>
        <v>-1.719451449729607E-2</v>
      </c>
      <c r="N36" s="205">
        <f t="shared" si="8"/>
        <v>-0.43356520498641521</v>
      </c>
      <c r="O36" s="204">
        <f t="shared" si="9"/>
        <v>0</v>
      </c>
      <c r="P36" s="204">
        <f t="shared" si="10"/>
        <v>0</v>
      </c>
      <c r="Q36" s="204">
        <v>0</v>
      </c>
      <c r="R36" s="205">
        <f t="shared" si="11"/>
        <v>-0.43356520498641521</v>
      </c>
    </row>
    <row r="37" spans="1:18" x14ac:dyDescent="0.2">
      <c r="A37" s="162">
        <v>6</v>
      </c>
      <c r="B37" s="197">
        <f t="shared" si="4"/>
        <v>44713</v>
      </c>
      <c r="C37" s="217">
        <f t="shared" si="12"/>
        <v>44747</v>
      </c>
      <c r="D37" s="217">
        <f t="shared" si="12"/>
        <v>44767</v>
      </c>
      <c r="E37" s="54" t="s">
        <v>22</v>
      </c>
      <c r="F37" s="162">
        <v>9</v>
      </c>
      <c r="G37" s="199">
        <v>3536</v>
      </c>
      <c r="H37" s="200">
        <f t="shared" si="5"/>
        <v>5.6216525614293303E-4</v>
      </c>
      <c r="I37" s="200">
        <f t="shared" si="1"/>
        <v>4.2858466888302956E-4</v>
      </c>
      <c r="J37" s="201">
        <f t="shared" si="2"/>
        <v>1.5154753891703925</v>
      </c>
      <c r="K37" s="202">
        <f t="shared" si="13"/>
        <v>1.9878163457214113</v>
      </c>
      <c r="L37" s="207">
        <f t="shared" si="14"/>
        <v>-0.47234095655101882</v>
      </c>
      <c r="M37" s="204">
        <f t="shared" si="7"/>
        <v>-1.9505872076496282E-2</v>
      </c>
      <c r="N37" s="205">
        <f t="shared" si="8"/>
        <v>-0.49184682862751511</v>
      </c>
      <c r="O37" s="204">
        <f t="shared" si="9"/>
        <v>0</v>
      </c>
      <c r="P37" s="204">
        <f t="shared" si="10"/>
        <v>0</v>
      </c>
      <c r="Q37" s="204">
        <v>0</v>
      </c>
      <c r="R37" s="205">
        <f t="shared" si="11"/>
        <v>-0.49184682862751511</v>
      </c>
    </row>
    <row r="38" spans="1:18" x14ac:dyDescent="0.2">
      <c r="A38" s="125">
        <v>7</v>
      </c>
      <c r="B38" s="197">
        <f t="shared" si="4"/>
        <v>44743</v>
      </c>
      <c r="C38" s="217">
        <f t="shared" si="12"/>
        <v>44776</v>
      </c>
      <c r="D38" s="217">
        <f t="shared" si="12"/>
        <v>44796</v>
      </c>
      <c r="E38" s="54" t="s">
        <v>22</v>
      </c>
      <c r="F38" s="162">
        <v>9</v>
      </c>
      <c r="G38" s="199">
        <v>3696</v>
      </c>
      <c r="H38" s="200">
        <f t="shared" si="5"/>
        <v>5.6216525614293303E-4</v>
      </c>
      <c r="I38" s="200">
        <f t="shared" si="1"/>
        <v>4.2858466888302956E-4</v>
      </c>
      <c r="J38" s="201">
        <f t="shared" si="2"/>
        <v>1.5840489361916772</v>
      </c>
      <c r="K38" s="208">
        <f t="shared" si="13"/>
        <v>2.0777627867042803</v>
      </c>
      <c r="L38" s="207">
        <f t="shared" si="14"/>
        <v>-0.49371385051260308</v>
      </c>
      <c r="M38" s="204">
        <f t="shared" si="7"/>
        <v>-2.038849072249159E-2</v>
      </c>
      <c r="N38" s="205">
        <f t="shared" si="8"/>
        <v>-0.51410234123509468</v>
      </c>
      <c r="O38" s="204">
        <f t="shared" si="9"/>
        <v>0</v>
      </c>
      <c r="P38" s="204">
        <f t="shared" si="10"/>
        <v>0</v>
      </c>
      <c r="Q38" s="204">
        <v>0</v>
      </c>
      <c r="R38" s="205">
        <f t="shared" si="11"/>
        <v>-0.51410234123509468</v>
      </c>
    </row>
    <row r="39" spans="1:18" x14ac:dyDescent="0.2">
      <c r="A39" s="162">
        <v>8</v>
      </c>
      <c r="B39" s="197">
        <f t="shared" si="4"/>
        <v>44774</v>
      </c>
      <c r="C39" s="217">
        <f t="shared" si="12"/>
        <v>44809</v>
      </c>
      <c r="D39" s="217">
        <f t="shared" si="12"/>
        <v>44827</v>
      </c>
      <c r="E39" s="54" t="s">
        <v>22</v>
      </c>
      <c r="F39" s="162">
        <v>9</v>
      </c>
      <c r="G39" s="199">
        <v>3632</v>
      </c>
      <c r="H39" s="200">
        <f t="shared" si="5"/>
        <v>5.6216525614293303E-4</v>
      </c>
      <c r="I39" s="200">
        <f t="shared" si="1"/>
        <v>4.2858466888302956E-4</v>
      </c>
      <c r="J39" s="201">
        <f t="shared" si="2"/>
        <v>1.5566195173831634</v>
      </c>
      <c r="K39" s="208">
        <f t="shared" si="13"/>
        <v>2.0417842103111328</v>
      </c>
      <c r="L39" s="207">
        <f t="shared" si="14"/>
        <v>-0.48516469292796938</v>
      </c>
      <c r="M39" s="204">
        <f t="shared" si="7"/>
        <v>-2.0035443264093466E-2</v>
      </c>
      <c r="N39" s="205">
        <f t="shared" si="8"/>
        <v>-0.50520013619206283</v>
      </c>
      <c r="O39" s="204">
        <f t="shared" si="9"/>
        <v>0</v>
      </c>
      <c r="P39" s="204">
        <f t="shared" si="10"/>
        <v>0</v>
      </c>
      <c r="Q39" s="204">
        <v>0</v>
      </c>
      <c r="R39" s="205">
        <f t="shared" si="11"/>
        <v>-0.50520013619206283</v>
      </c>
    </row>
    <row r="40" spans="1:18" x14ac:dyDescent="0.2">
      <c r="A40" s="162">
        <v>9</v>
      </c>
      <c r="B40" s="197">
        <f t="shared" si="4"/>
        <v>44805</v>
      </c>
      <c r="C40" s="217">
        <f t="shared" si="12"/>
        <v>44839</v>
      </c>
      <c r="D40" s="217">
        <f t="shared" si="12"/>
        <v>44859</v>
      </c>
      <c r="E40" s="54" t="s">
        <v>22</v>
      </c>
      <c r="F40" s="162">
        <v>9</v>
      </c>
      <c r="G40" s="199">
        <v>3337</v>
      </c>
      <c r="H40" s="200">
        <f t="shared" si="5"/>
        <v>5.6216525614293303E-4</v>
      </c>
      <c r="I40" s="200">
        <f t="shared" si="1"/>
        <v>4.2858466888302956E-4</v>
      </c>
      <c r="J40" s="201">
        <f t="shared" si="2"/>
        <v>1.4301870400626697</v>
      </c>
      <c r="K40" s="208">
        <f t="shared" si="13"/>
        <v>1.8759454597489675</v>
      </c>
      <c r="L40" s="207">
        <f t="shared" si="14"/>
        <v>-0.44575841968629781</v>
      </c>
      <c r="M40" s="204">
        <f t="shared" si="7"/>
        <v>-1.8408115135539617E-2</v>
      </c>
      <c r="N40" s="205">
        <f t="shared" si="8"/>
        <v>-0.46416653482183745</v>
      </c>
      <c r="O40" s="204">
        <f t="shared" si="9"/>
        <v>0</v>
      </c>
      <c r="P40" s="204">
        <f t="shared" si="10"/>
        <v>0</v>
      </c>
      <c r="Q40" s="204">
        <v>0</v>
      </c>
      <c r="R40" s="205">
        <f t="shared" si="11"/>
        <v>-0.46416653482183745</v>
      </c>
    </row>
    <row r="41" spans="1:18" x14ac:dyDescent="0.2">
      <c r="A41" s="125">
        <v>10</v>
      </c>
      <c r="B41" s="197">
        <f t="shared" si="4"/>
        <v>44835</v>
      </c>
      <c r="C41" s="217">
        <f t="shared" si="12"/>
        <v>44868</v>
      </c>
      <c r="D41" s="217">
        <f t="shared" si="12"/>
        <v>44888</v>
      </c>
      <c r="E41" s="54" t="s">
        <v>22</v>
      </c>
      <c r="F41" s="162">
        <v>9</v>
      </c>
      <c r="G41" s="199">
        <v>2496</v>
      </c>
      <c r="H41" s="200">
        <f t="shared" si="5"/>
        <v>5.6216525614293303E-4</v>
      </c>
      <c r="I41" s="200">
        <f t="shared" si="1"/>
        <v>4.2858466888302956E-4</v>
      </c>
      <c r="J41" s="201">
        <f t="shared" si="2"/>
        <v>1.0697473335320418</v>
      </c>
      <c r="K41" s="208">
        <f t="shared" si="13"/>
        <v>1.4031644793327609</v>
      </c>
      <c r="L41" s="207">
        <f t="shared" si="14"/>
        <v>-0.33341714580071913</v>
      </c>
      <c r="M41" s="204">
        <f t="shared" si="7"/>
        <v>-1.3768850877526785E-2</v>
      </c>
      <c r="N41" s="205">
        <f t="shared" si="8"/>
        <v>-0.3471859966782459</v>
      </c>
      <c r="O41" s="204">
        <f t="shared" si="9"/>
        <v>0</v>
      </c>
      <c r="P41" s="204">
        <f t="shared" si="10"/>
        <v>0</v>
      </c>
      <c r="Q41" s="204">
        <v>0</v>
      </c>
      <c r="R41" s="205">
        <f t="shared" si="11"/>
        <v>-0.3471859966782459</v>
      </c>
    </row>
    <row r="42" spans="1:18" x14ac:dyDescent="0.2">
      <c r="A42" s="162">
        <v>11</v>
      </c>
      <c r="B42" s="197">
        <f t="shared" si="4"/>
        <v>44866</v>
      </c>
      <c r="C42" s="217">
        <f t="shared" si="12"/>
        <v>44900</v>
      </c>
      <c r="D42" s="217">
        <f t="shared" si="12"/>
        <v>44918</v>
      </c>
      <c r="E42" s="54" t="s">
        <v>22</v>
      </c>
      <c r="F42" s="162">
        <v>9</v>
      </c>
      <c r="G42" s="199">
        <v>2518</v>
      </c>
      <c r="H42" s="200">
        <f t="shared" si="5"/>
        <v>5.6216525614293303E-4</v>
      </c>
      <c r="I42" s="200">
        <f t="shared" si="1"/>
        <v>4.2858466888302956E-4</v>
      </c>
      <c r="J42" s="201">
        <f t="shared" si="2"/>
        <v>1.0791761962474684</v>
      </c>
      <c r="K42" s="208">
        <f t="shared" si="13"/>
        <v>1.4155321149679054</v>
      </c>
      <c r="L42" s="207">
        <f t="shared" si="14"/>
        <v>-0.33635591872043702</v>
      </c>
      <c r="M42" s="204">
        <f t="shared" si="7"/>
        <v>-1.3890210941351141E-2</v>
      </c>
      <c r="N42" s="205">
        <f t="shared" si="8"/>
        <v>-0.35024612966178814</v>
      </c>
      <c r="O42" s="204">
        <f t="shared" si="9"/>
        <v>0</v>
      </c>
      <c r="P42" s="204">
        <f t="shared" si="10"/>
        <v>0</v>
      </c>
      <c r="Q42" s="204">
        <v>0</v>
      </c>
      <c r="R42" s="205">
        <f t="shared" si="11"/>
        <v>-0.35024612966178814</v>
      </c>
    </row>
    <row r="43" spans="1:18" x14ac:dyDescent="0.2">
      <c r="A43" s="162">
        <v>12</v>
      </c>
      <c r="B43" s="197">
        <f t="shared" si="4"/>
        <v>44896</v>
      </c>
      <c r="C43" s="217">
        <f t="shared" si="12"/>
        <v>44930</v>
      </c>
      <c r="D43" s="217">
        <f t="shared" si="12"/>
        <v>44950</v>
      </c>
      <c r="E43" s="54" t="s">
        <v>22</v>
      </c>
      <c r="F43" s="162">
        <v>9</v>
      </c>
      <c r="G43" s="199">
        <v>3399</v>
      </c>
      <c r="H43" s="209">
        <f t="shared" si="5"/>
        <v>5.6216525614293303E-4</v>
      </c>
      <c r="I43" s="209">
        <f t="shared" si="1"/>
        <v>4.2858466888302956E-4</v>
      </c>
      <c r="J43" s="210">
        <f t="shared" si="2"/>
        <v>1.4567592895334174</v>
      </c>
      <c r="K43" s="211">
        <f t="shared" si="13"/>
        <v>1.9107997056298294</v>
      </c>
      <c r="L43" s="212">
        <f t="shared" si="14"/>
        <v>-0.45404041609641199</v>
      </c>
      <c r="M43" s="204">
        <f t="shared" si="7"/>
        <v>-1.8750129860862799E-2</v>
      </c>
      <c r="N43" s="205">
        <f t="shared" si="8"/>
        <v>-0.47279054595727477</v>
      </c>
      <c r="O43" s="204">
        <f t="shared" si="9"/>
        <v>0</v>
      </c>
      <c r="P43" s="204">
        <f t="shared" si="10"/>
        <v>0</v>
      </c>
      <c r="Q43" s="204">
        <v>0</v>
      </c>
      <c r="R43" s="205">
        <f t="shared" si="11"/>
        <v>-0.47279054595727477</v>
      </c>
    </row>
    <row r="44" spans="1:18" x14ac:dyDescent="0.2">
      <c r="A44" s="125">
        <v>1</v>
      </c>
      <c r="B44" s="213">
        <f t="shared" ref="B44:B55" si="15">DATE($R$1,A44,1)</f>
        <v>44562</v>
      </c>
      <c r="C44" s="214">
        <f t="shared" ref="C44:D55" si="16">+C32</f>
        <v>44595</v>
      </c>
      <c r="D44" s="214">
        <f t="shared" si="16"/>
        <v>44615</v>
      </c>
      <c r="E44" s="215" t="s">
        <v>82</v>
      </c>
      <c r="F44" s="216">
        <v>9</v>
      </c>
      <c r="G44" s="199">
        <v>163</v>
      </c>
      <c r="H44" s="200">
        <f>+$K$3</f>
        <v>5.6216525614293303E-4</v>
      </c>
      <c r="I44" s="200">
        <f t="shared" si="1"/>
        <v>4.2858466888302956E-4</v>
      </c>
      <c r="J44" s="204">
        <f t="shared" ref="J44:J55" si="17">+$G44*I44</f>
        <v>6.9859301027933821E-2</v>
      </c>
      <c r="K44" s="208">
        <f t="shared" ref="K44:K55" si="18">+$G44*H44</f>
        <v>9.1632936751298077E-2</v>
      </c>
      <c r="L44" s="207">
        <f t="shared" ref="L44:L55" si="19">+J44-K44</f>
        <v>-2.1773635723364257E-2</v>
      </c>
      <c r="M44" s="204">
        <f t="shared" si="7"/>
        <v>-8.9916774560771877E-4</v>
      </c>
      <c r="N44" s="205">
        <f t="shared" si="8"/>
        <v>-2.2672803468971974E-2</v>
      </c>
      <c r="O44" s="204">
        <f t="shared" si="9"/>
        <v>0</v>
      </c>
      <c r="P44" s="204">
        <f t="shared" si="10"/>
        <v>0</v>
      </c>
      <c r="Q44" s="204">
        <v>0</v>
      </c>
      <c r="R44" s="205">
        <f t="shared" si="11"/>
        <v>-2.2672803468971974E-2</v>
      </c>
    </row>
    <row r="45" spans="1:18" x14ac:dyDescent="0.2">
      <c r="A45" s="162">
        <v>2</v>
      </c>
      <c r="B45" s="197">
        <f t="shared" si="15"/>
        <v>44593</v>
      </c>
      <c r="C45" s="217">
        <f t="shared" si="16"/>
        <v>44623</v>
      </c>
      <c r="D45" s="217">
        <f t="shared" si="16"/>
        <v>44642</v>
      </c>
      <c r="E45" s="206" t="s">
        <v>82</v>
      </c>
      <c r="F45" s="162">
        <v>9</v>
      </c>
      <c r="G45" s="199">
        <v>155</v>
      </c>
      <c r="H45" s="200">
        <f t="shared" si="5"/>
        <v>5.6216525614293303E-4</v>
      </c>
      <c r="I45" s="200">
        <f t="shared" si="1"/>
        <v>4.2858466888302956E-4</v>
      </c>
      <c r="J45" s="204">
        <f t="shared" si="17"/>
        <v>6.6430623676869582E-2</v>
      </c>
      <c r="K45" s="208">
        <f t="shared" si="18"/>
        <v>8.7135614702154626E-2</v>
      </c>
      <c r="L45" s="207">
        <f t="shared" si="19"/>
        <v>-2.0704991025285044E-2</v>
      </c>
      <c r="M45" s="204">
        <f t="shared" si="7"/>
        <v>-8.5503681330795342E-4</v>
      </c>
      <c r="N45" s="205">
        <f t="shared" si="8"/>
        <v>-2.1560027838592996E-2</v>
      </c>
      <c r="O45" s="204">
        <f t="shared" si="9"/>
        <v>0</v>
      </c>
      <c r="P45" s="204">
        <f t="shared" si="10"/>
        <v>0</v>
      </c>
      <c r="Q45" s="204">
        <v>0</v>
      </c>
      <c r="R45" s="205">
        <f t="shared" si="11"/>
        <v>-2.1560027838592996E-2</v>
      </c>
    </row>
    <row r="46" spans="1:18" x14ac:dyDescent="0.2">
      <c r="A46" s="162">
        <v>3</v>
      </c>
      <c r="B46" s="197">
        <f t="shared" si="15"/>
        <v>44621</v>
      </c>
      <c r="C46" s="217">
        <f t="shared" si="16"/>
        <v>44656</v>
      </c>
      <c r="D46" s="217">
        <f t="shared" si="16"/>
        <v>44676</v>
      </c>
      <c r="E46" s="206" t="s">
        <v>82</v>
      </c>
      <c r="F46" s="162">
        <v>9</v>
      </c>
      <c r="G46" s="199">
        <v>141</v>
      </c>
      <c r="H46" s="200">
        <f t="shared" si="5"/>
        <v>5.6216525614293303E-4</v>
      </c>
      <c r="I46" s="200">
        <f t="shared" si="1"/>
        <v>4.2858466888302956E-4</v>
      </c>
      <c r="J46" s="204">
        <f t="shared" si="17"/>
        <v>6.0430438312507169E-2</v>
      </c>
      <c r="K46" s="208">
        <f t="shared" si="18"/>
        <v>7.9265301116153555E-2</v>
      </c>
      <c r="L46" s="207">
        <f t="shared" si="19"/>
        <v>-1.8834862803646386E-2</v>
      </c>
      <c r="M46" s="204">
        <f t="shared" si="7"/>
        <v>-7.7780768178336418E-4</v>
      </c>
      <c r="N46" s="205">
        <f t="shared" si="8"/>
        <v>-1.9612670485429751E-2</v>
      </c>
      <c r="O46" s="204">
        <f t="shared" si="9"/>
        <v>0</v>
      </c>
      <c r="P46" s="204">
        <f t="shared" si="10"/>
        <v>0</v>
      </c>
      <c r="Q46" s="204">
        <v>0</v>
      </c>
      <c r="R46" s="205">
        <f t="shared" si="11"/>
        <v>-1.9612670485429751E-2</v>
      </c>
    </row>
    <row r="47" spans="1:18" x14ac:dyDescent="0.2">
      <c r="A47" s="125">
        <v>4</v>
      </c>
      <c r="B47" s="197">
        <f t="shared" si="15"/>
        <v>44652</v>
      </c>
      <c r="C47" s="217">
        <f t="shared" si="16"/>
        <v>44685</v>
      </c>
      <c r="D47" s="217">
        <f t="shared" si="16"/>
        <v>44705</v>
      </c>
      <c r="E47" s="206" t="s">
        <v>82</v>
      </c>
      <c r="F47" s="162">
        <v>9</v>
      </c>
      <c r="G47" s="199">
        <v>92</v>
      </c>
      <c r="H47" s="200">
        <f t="shared" si="5"/>
        <v>5.6216525614293303E-4</v>
      </c>
      <c r="I47" s="200">
        <f t="shared" si="1"/>
        <v>4.2858466888302956E-4</v>
      </c>
      <c r="J47" s="204">
        <f t="shared" si="17"/>
        <v>3.9429789537238719E-2</v>
      </c>
      <c r="K47" s="208">
        <f t="shared" si="18"/>
        <v>5.1719203565149842E-2</v>
      </c>
      <c r="L47" s="207">
        <f t="shared" si="19"/>
        <v>-1.2289414027911123E-2</v>
      </c>
      <c r="M47" s="204">
        <f t="shared" si="7"/>
        <v>-5.0750572144730142E-4</v>
      </c>
      <c r="N47" s="205">
        <f t="shared" si="8"/>
        <v>-1.2796919749358425E-2</v>
      </c>
      <c r="O47" s="204">
        <f t="shared" si="9"/>
        <v>0</v>
      </c>
      <c r="P47" s="204">
        <f t="shared" si="10"/>
        <v>0</v>
      </c>
      <c r="Q47" s="204">
        <v>0</v>
      </c>
      <c r="R47" s="205">
        <f t="shared" si="11"/>
        <v>-1.2796919749358425E-2</v>
      </c>
    </row>
    <row r="48" spans="1:18" x14ac:dyDescent="0.2">
      <c r="A48" s="162">
        <v>5</v>
      </c>
      <c r="B48" s="197">
        <f t="shared" si="15"/>
        <v>44682</v>
      </c>
      <c r="C48" s="217">
        <f t="shared" si="16"/>
        <v>44715</v>
      </c>
      <c r="D48" s="217">
        <f t="shared" si="16"/>
        <v>44735</v>
      </c>
      <c r="E48" s="206" t="s">
        <v>82</v>
      </c>
      <c r="F48" s="162">
        <v>9</v>
      </c>
      <c r="G48" s="199">
        <v>131</v>
      </c>
      <c r="H48" s="200">
        <f t="shared" si="5"/>
        <v>5.6216525614293303E-4</v>
      </c>
      <c r="I48" s="200">
        <f t="shared" si="1"/>
        <v>4.2858466888302956E-4</v>
      </c>
      <c r="J48" s="204">
        <f t="shared" si="17"/>
        <v>5.6144591623676875E-2</v>
      </c>
      <c r="K48" s="208">
        <f t="shared" si="18"/>
        <v>7.3643648554724231E-2</v>
      </c>
      <c r="L48" s="207">
        <f t="shared" si="19"/>
        <v>-1.7499056931047356E-2</v>
      </c>
      <c r="M48" s="204">
        <f t="shared" si="7"/>
        <v>-7.2264401640865746E-4</v>
      </c>
      <c r="N48" s="205">
        <f t="shared" si="8"/>
        <v>-1.8221700947456013E-2</v>
      </c>
      <c r="O48" s="204">
        <f t="shared" si="9"/>
        <v>0</v>
      </c>
      <c r="P48" s="204">
        <f t="shared" si="10"/>
        <v>0</v>
      </c>
      <c r="Q48" s="204">
        <v>0</v>
      </c>
      <c r="R48" s="205">
        <f t="shared" si="11"/>
        <v>-1.8221700947456013E-2</v>
      </c>
    </row>
    <row r="49" spans="1:18" x14ac:dyDescent="0.2">
      <c r="A49" s="162">
        <v>6</v>
      </c>
      <c r="B49" s="197">
        <f t="shared" si="15"/>
        <v>44713</v>
      </c>
      <c r="C49" s="217">
        <f t="shared" si="16"/>
        <v>44747</v>
      </c>
      <c r="D49" s="217">
        <f t="shared" si="16"/>
        <v>44767</v>
      </c>
      <c r="E49" s="206" t="s">
        <v>82</v>
      </c>
      <c r="F49" s="162">
        <v>9</v>
      </c>
      <c r="G49" s="199">
        <v>152</v>
      </c>
      <c r="H49" s="200">
        <f t="shared" si="5"/>
        <v>5.6216525614293303E-4</v>
      </c>
      <c r="I49" s="200">
        <f t="shared" si="1"/>
        <v>4.2858466888302956E-4</v>
      </c>
      <c r="J49" s="204">
        <f t="shared" si="17"/>
        <v>6.5144869670220498E-2</v>
      </c>
      <c r="K49" s="208">
        <f t="shared" si="18"/>
        <v>8.5449118933725823E-2</v>
      </c>
      <c r="L49" s="207">
        <f t="shared" si="19"/>
        <v>-2.0304249263505325E-2</v>
      </c>
      <c r="M49" s="204">
        <f t="shared" si="7"/>
        <v>-8.3848771369554142E-4</v>
      </c>
      <c r="N49" s="205">
        <f t="shared" si="8"/>
        <v>-2.1142736977200868E-2</v>
      </c>
      <c r="O49" s="204">
        <f t="shared" si="9"/>
        <v>0</v>
      </c>
      <c r="P49" s="204">
        <f t="shared" si="10"/>
        <v>0</v>
      </c>
      <c r="Q49" s="204">
        <v>0</v>
      </c>
      <c r="R49" s="205">
        <f t="shared" si="11"/>
        <v>-2.1142736977200868E-2</v>
      </c>
    </row>
    <row r="50" spans="1:18" x14ac:dyDescent="0.2">
      <c r="A50" s="125">
        <v>7</v>
      </c>
      <c r="B50" s="197">
        <f t="shared" si="15"/>
        <v>44743</v>
      </c>
      <c r="C50" s="217">
        <f t="shared" si="16"/>
        <v>44776</v>
      </c>
      <c r="D50" s="217">
        <f t="shared" si="16"/>
        <v>44796</v>
      </c>
      <c r="E50" s="206" t="s">
        <v>82</v>
      </c>
      <c r="F50" s="162">
        <v>9</v>
      </c>
      <c r="G50" s="199">
        <v>149</v>
      </c>
      <c r="H50" s="200">
        <f t="shared" si="5"/>
        <v>5.6216525614293303E-4</v>
      </c>
      <c r="I50" s="200">
        <f t="shared" si="1"/>
        <v>4.2858466888302956E-4</v>
      </c>
      <c r="J50" s="204">
        <f t="shared" si="17"/>
        <v>6.38591156635714E-2</v>
      </c>
      <c r="K50" s="208">
        <f t="shared" si="18"/>
        <v>8.376262316529702E-2</v>
      </c>
      <c r="L50" s="207">
        <f t="shared" si="19"/>
        <v>-1.990350750172562E-2</v>
      </c>
      <c r="M50" s="204">
        <f t="shared" si="7"/>
        <v>-8.2193861408312954E-4</v>
      </c>
      <c r="N50" s="205">
        <f t="shared" si="8"/>
        <v>-2.072544611580875E-2</v>
      </c>
      <c r="O50" s="204">
        <f t="shared" si="9"/>
        <v>0</v>
      </c>
      <c r="P50" s="204">
        <f t="shared" si="10"/>
        <v>0</v>
      </c>
      <c r="Q50" s="204">
        <v>0</v>
      </c>
      <c r="R50" s="205">
        <f t="shared" si="11"/>
        <v>-2.072544611580875E-2</v>
      </c>
    </row>
    <row r="51" spans="1:18" x14ac:dyDescent="0.2">
      <c r="A51" s="162">
        <v>8</v>
      </c>
      <c r="B51" s="197">
        <f t="shared" si="15"/>
        <v>44774</v>
      </c>
      <c r="C51" s="217">
        <f t="shared" si="16"/>
        <v>44809</v>
      </c>
      <c r="D51" s="217">
        <f t="shared" si="16"/>
        <v>44827</v>
      </c>
      <c r="E51" s="206" t="s">
        <v>82</v>
      </c>
      <c r="F51" s="162">
        <v>9</v>
      </c>
      <c r="G51" s="199">
        <v>137</v>
      </c>
      <c r="H51" s="200">
        <f t="shared" si="5"/>
        <v>5.6216525614293303E-4</v>
      </c>
      <c r="I51" s="200">
        <f t="shared" si="1"/>
        <v>4.2858466888302956E-4</v>
      </c>
      <c r="J51" s="204">
        <f t="shared" si="17"/>
        <v>5.871609963697505E-2</v>
      </c>
      <c r="K51" s="208">
        <f t="shared" si="18"/>
        <v>7.7016640091581823E-2</v>
      </c>
      <c r="L51" s="207">
        <f t="shared" si="19"/>
        <v>-1.8300540454606773E-2</v>
      </c>
      <c r="M51" s="204">
        <f t="shared" si="7"/>
        <v>-7.5574221563348145E-4</v>
      </c>
      <c r="N51" s="205">
        <f t="shared" si="8"/>
        <v>-1.9056282670240253E-2</v>
      </c>
      <c r="O51" s="204">
        <f t="shared" si="9"/>
        <v>0</v>
      </c>
      <c r="P51" s="204">
        <f t="shared" si="10"/>
        <v>0</v>
      </c>
      <c r="Q51" s="204">
        <v>0</v>
      </c>
      <c r="R51" s="205">
        <f t="shared" si="11"/>
        <v>-1.9056282670240253E-2</v>
      </c>
    </row>
    <row r="52" spans="1:18" x14ac:dyDescent="0.2">
      <c r="A52" s="162">
        <v>9</v>
      </c>
      <c r="B52" s="197">
        <f t="shared" si="15"/>
        <v>44805</v>
      </c>
      <c r="C52" s="217">
        <f t="shared" si="16"/>
        <v>44839</v>
      </c>
      <c r="D52" s="217">
        <f t="shared" si="16"/>
        <v>44859</v>
      </c>
      <c r="E52" s="206" t="s">
        <v>82</v>
      </c>
      <c r="F52" s="162">
        <v>9</v>
      </c>
      <c r="G52" s="199">
        <v>136</v>
      </c>
      <c r="H52" s="200">
        <f t="shared" si="5"/>
        <v>5.6216525614293303E-4</v>
      </c>
      <c r="I52" s="200">
        <f t="shared" si="1"/>
        <v>4.2858466888302956E-4</v>
      </c>
      <c r="J52" s="204">
        <f t="shared" si="17"/>
        <v>5.8287514968092022E-2</v>
      </c>
      <c r="K52" s="208">
        <f t="shared" si="18"/>
        <v>7.6454474835438893E-2</v>
      </c>
      <c r="L52" s="207">
        <f t="shared" si="19"/>
        <v>-1.8166959867346871E-2</v>
      </c>
      <c r="M52" s="204">
        <f t="shared" si="7"/>
        <v>-7.5022584909601082E-4</v>
      </c>
      <c r="N52" s="205">
        <f t="shared" si="8"/>
        <v>-1.8917185716442884E-2</v>
      </c>
      <c r="O52" s="204">
        <f t="shared" si="9"/>
        <v>0</v>
      </c>
      <c r="P52" s="204">
        <f t="shared" si="10"/>
        <v>0</v>
      </c>
      <c r="Q52" s="204">
        <v>0</v>
      </c>
      <c r="R52" s="205">
        <f t="shared" si="11"/>
        <v>-1.8917185716442884E-2</v>
      </c>
    </row>
    <row r="53" spans="1:18" x14ac:dyDescent="0.2">
      <c r="A53" s="125">
        <v>10</v>
      </c>
      <c r="B53" s="197">
        <f t="shared" si="15"/>
        <v>44835</v>
      </c>
      <c r="C53" s="217">
        <f t="shared" si="16"/>
        <v>44868</v>
      </c>
      <c r="D53" s="217">
        <f t="shared" si="16"/>
        <v>44888</v>
      </c>
      <c r="E53" s="206" t="s">
        <v>82</v>
      </c>
      <c r="F53" s="162">
        <v>9</v>
      </c>
      <c r="G53" s="199">
        <v>91</v>
      </c>
      <c r="H53" s="200">
        <f t="shared" si="5"/>
        <v>5.6216525614293303E-4</v>
      </c>
      <c r="I53" s="200">
        <f t="shared" si="1"/>
        <v>4.2858466888302956E-4</v>
      </c>
      <c r="J53" s="204">
        <f t="shared" si="17"/>
        <v>3.9001204868355691E-2</v>
      </c>
      <c r="K53" s="208">
        <f t="shared" si="18"/>
        <v>5.1157038309006905E-2</v>
      </c>
      <c r="L53" s="207">
        <f t="shared" si="19"/>
        <v>-1.2155833440651215E-2</v>
      </c>
      <c r="M53" s="204">
        <f t="shared" si="7"/>
        <v>-5.0198935490983069E-4</v>
      </c>
      <c r="N53" s="205">
        <f t="shared" si="8"/>
        <v>-1.2657822795561045E-2</v>
      </c>
      <c r="O53" s="204">
        <f t="shared" si="9"/>
        <v>0</v>
      </c>
      <c r="P53" s="204">
        <f t="shared" si="10"/>
        <v>0</v>
      </c>
      <c r="Q53" s="204">
        <v>0</v>
      </c>
      <c r="R53" s="205">
        <f t="shared" si="11"/>
        <v>-1.2657822795561045E-2</v>
      </c>
    </row>
    <row r="54" spans="1:18" x14ac:dyDescent="0.2">
      <c r="A54" s="162">
        <v>11</v>
      </c>
      <c r="B54" s="197">
        <f t="shared" si="15"/>
        <v>44866</v>
      </c>
      <c r="C54" s="217">
        <f t="shared" si="16"/>
        <v>44900</v>
      </c>
      <c r="D54" s="217">
        <f t="shared" si="16"/>
        <v>44918</v>
      </c>
      <c r="E54" s="206" t="s">
        <v>82</v>
      </c>
      <c r="F54" s="162">
        <v>9</v>
      </c>
      <c r="G54" s="199">
        <v>113</v>
      </c>
      <c r="H54" s="200">
        <f t="shared" si="5"/>
        <v>5.6216525614293303E-4</v>
      </c>
      <c r="I54" s="200">
        <f t="shared" si="1"/>
        <v>4.2858466888302956E-4</v>
      </c>
      <c r="J54" s="204">
        <f t="shared" si="17"/>
        <v>4.8430067583782342E-2</v>
      </c>
      <c r="K54" s="208">
        <f t="shared" si="18"/>
        <v>6.3524673944151427E-2</v>
      </c>
      <c r="L54" s="207">
        <f t="shared" si="19"/>
        <v>-1.5094606360369085E-2</v>
      </c>
      <c r="M54" s="204">
        <f t="shared" si="7"/>
        <v>-6.2334941873418549E-4</v>
      </c>
      <c r="N54" s="205">
        <f t="shared" si="8"/>
        <v>-1.571795577910327E-2</v>
      </c>
      <c r="O54" s="204">
        <f t="shared" si="9"/>
        <v>0</v>
      </c>
      <c r="P54" s="204">
        <f t="shared" si="10"/>
        <v>0</v>
      </c>
      <c r="Q54" s="204">
        <v>0</v>
      </c>
      <c r="R54" s="205">
        <f t="shared" si="11"/>
        <v>-1.571795577910327E-2</v>
      </c>
    </row>
    <row r="55" spans="1:18" x14ac:dyDescent="0.2">
      <c r="A55" s="162">
        <v>12</v>
      </c>
      <c r="B55" s="197">
        <f t="shared" si="15"/>
        <v>44896</v>
      </c>
      <c r="C55" s="217">
        <f t="shared" si="16"/>
        <v>44930</v>
      </c>
      <c r="D55" s="217">
        <f t="shared" si="16"/>
        <v>44950</v>
      </c>
      <c r="E55" s="206" t="s">
        <v>82</v>
      </c>
      <c r="F55" s="162">
        <v>9</v>
      </c>
      <c r="G55" s="199">
        <v>210</v>
      </c>
      <c r="H55" s="209">
        <f t="shared" si="5"/>
        <v>5.6216525614293303E-4</v>
      </c>
      <c r="I55" s="209">
        <f t="shared" si="1"/>
        <v>4.2858466888302956E-4</v>
      </c>
      <c r="J55" s="210">
        <f t="shared" si="17"/>
        <v>9.0002780465436208E-2</v>
      </c>
      <c r="K55" s="211">
        <f t="shared" si="18"/>
        <v>0.11805470379001594</v>
      </c>
      <c r="L55" s="212">
        <f t="shared" si="19"/>
        <v>-2.8051923324579731E-2</v>
      </c>
      <c r="M55" s="204">
        <f t="shared" si="7"/>
        <v>-1.1584369728688403E-3</v>
      </c>
      <c r="N55" s="205">
        <f t="shared" si="8"/>
        <v>-2.921036029744857E-2</v>
      </c>
      <c r="O55" s="204">
        <f t="shared" si="9"/>
        <v>0</v>
      </c>
      <c r="P55" s="204">
        <f t="shared" si="10"/>
        <v>0</v>
      </c>
      <c r="Q55" s="204">
        <v>0</v>
      </c>
      <c r="R55" s="205">
        <f t="shared" si="11"/>
        <v>-2.921036029744857E-2</v>
      </c>
    </row>
    <row r="56" spans="1:18" s="218" customFormat="1" x14ac:dyDescent="0.2">
      <c r="A56" s="125">
        <v>1</v>
      </c>
      <c r="B56" s="213">
        <f t="shared" si="4"/>
        <v>44562</v>
      </c>
      <c r="C56" s="214">
        <f t="shared" ref="C56:D67" si="20">+C32</f>
        <v>44595</v>
      </c>
      <c r="D56" s="214">
        <f t="shared" si="20"/>
        <v>44615</v>
      </c>
      <c r="E56" s="215" t="s">
        <v>14</v>
      </c>
      <c r="F56" s="216">
        <v>9</v>
      </c>
      <c r="G56" s="199">
        <v>893</v>
      </c>
      <c r="H56" s="200">
        <f>+$K$3</f>
        <v>5.6216525614293303E-4</v>
      </c>
      <c r="I56" s="200">
        <f t="shared" si="1"/>
        <v>4.2858466888302956E-4</v>
      </c>
      <c r="J56" s="201">
        <f t="shared" si="2"/>
        <v>0.38272610931254541</v>
      </c>
      <c r="K56" s="202">
        <f t="shared" si="13"/>
        <v>0.50201357373563915</v>
      </c>
      <c r="L56" s="203">
        <f t="shared" si="14"/>
        <v>-0.11928746442309374</v>
      </c>
      <c r="M56" s="204">
        <f t="shared" si="7"/>
        <v>-4.9261153179613057E-3</v>
      </c>
      <c r="N56" s="205">
        <f t="shared" si="8"/>
        <v>-0.12421357974105504</v>
      </c>
      <c r="O56" s="204">
        <f t="shared" si="9"/>
        <v>0</v>
      </c>
      <c r="P56" s="204">
        <f t="shared" si="10"/>
        <v>0</v>
      </c>
      <c r="Q56" s="204">
        <v>0</v>
      </c>
      <c r="R56" s="205">
        <f t="shared" si="11"/>
        <v>-0.12421357974105504</v>
      </c>
    </row>
    <row r="57" spans="1:18" x14ac:dyDescent="0.2">
      <c r="A57" s="162">
        <v>2</v>
      </c>
      <c r="B57" s="197">
        <f t="shared" si="4"/>
        <v>44593</v>
      </c>
      <c r="C57" s="217">
        <f t="shared" si="20"/>
        <v>44623</v>
      </c>
      <c r="D57" s="217">
        <f t="shared" si="20"/>
        <v>44642</v>
      </c>
      <c r="E57" s="206" t="s">
        <v>14</v>
      </c>
      <c r="F57" s="162">
        <v>9</v>
      </c>
      <c r="G57" s="199">
        <v>796</v>
      </c>
      <c r="H57" s="200">
        <f t="shared" si="5"/>
        <v>5.6216525614293303E-4</v>
      </c>
      <c r="I57" s="200">
        <f t="shared" si="1"/>
        <v>4.2858466888302956E-4</v>
      </c>
      <c r="J57" s="201">
        <f t="shared" si="2"/>
        <v>0.34115339643089154</v>
      </c>
      <c r="K57" s="202">
        <f t="shared" si="13"/>
        <v>0.44748354388977468</v>
      </c>
      <c r="L57" s="203">
        <f t="shared" si="14"/>
        <v>-0.10633014745888314</v>
      </c>
      <c r="M57" s="204">
        <f t="shared" si="7"/>
        <v>-4.3910277638266517E-3</v>
      </c>
      <c r="N57" s="205">
        <f t="shared" si="8"/>
        <v>-0.11072117522270979</v>
      </c>
      <c r="O57" s="204">
        <f t="shared" si="9"/>
        <v>0</v>
      </c>
      <c r="P57" s="204">
        <f t="shared" si="10"/>
        <v>0</v>
      </c>
      <c r="Q57" s="204">
        <v>0</v>
      </c>
      <c r="R57" s="205">
        <f t="shared" si="11"/>
        <v>-0.11072117522270979</v>
      </c>
    </row>
    <row r="58" spans="1:18" x14ac:dyDescent="0.2">
      <c r="A58" s="162">
        <v>3</v>
      </c>
      <c r="B58" s="197">
        <f t="shared" si="4"/>
        <v>44621</v>
      </c>
      <c r="C58" s="217">
        <f t="shared" si="20"/>
        <v>44656</v>
      </c>
      <c r="D58" s="217">
        <f t="shared" si="20"/>
        <v>44676</v>
      </c>
      <c r="E58" s="206" t="s">
        <v>14</v>
      </c>
      <c r="F58" s="162">
        <v>9</v>
      </c>
      <c r="G58" s="199">
        <v>700</v>
      </c>
      <c r="H58" s="200">
        <f t="shared" si="5"/>
        <v>5.6216525614293303E-4</v>
      </c>
      <c r="I58" s="200">
        <f t="shared" si="1"/>
        <v>4.2858466888302956E-4</v>
      </c>
      <c r="J58" s="201">
        <f t="shared" si="2"/>
        <v>0.30000926821812068</v>
      </c>
      <c r="K58" s="202">
        <f t="shared" si="13"/>
        <v>0.3935156793000531</v>
      </c>
      <c r="L58" s="203">
        <f>+J58-K58</f>
        <v>-9.3506411081932417E-2</v>
      </c>
      <c r="M58" s="204">
        <f t="shared" si="7"/>
        <v>-3.8614565762294674E-3</v>
      </c>
      <c r="N58" s="205">
        <f t="shared" si="8"/>
        <v>-9.7367867658161883E-2</v>
      </c>
      <c r="O58" s="204">
        <f t="shared" si="9"/>
        <v>0</v>
      </c>
      <c r="P58" s="204">
        <f t="shared" si="10"/>
        <v>0</v>
      </c>
      <c r="Q58" s="204">
        <v>0</v>
      </c>
      <c r="R58" s="205">
        <f t="shared" si="11"/>
        <v>-9.7367867658161883E-2</v>
      </c>
    </row>
    <row r="59" spans="1:18" x14ac:dyDescent="0.2">
      <c r="A59" s="125">
        <v>4</v>
      </c>
      <c r="B59" s="197">
        <f t="shared" si="4"/>
        <v>44652</v>
      </c>
      <c r="C59" s="217">
        <f t="shared" si="20"/>
        <v>44685</v>
      </c>
      <c r="D59" s="217">
        <f t="shared" si="20"/>
        <v>44705</v>
      </c>
      <c r="E59" s="206" t="s">
        <v>14</v>
      </c>
      <c r="F59" s="162">
        <v>9</v>
      </c>
      <c r="G59" s="199">
        <v>549</v>
      </c>
      <c r="H59" s="200">
        <f t="shared" si="5"/>
        <v>5.6216525614293303E-4</v>
      </c>
      <c r="I59" s="200">
        <f t="shared" si="1"/>
        <v>4.2858466888302956E-4</v>
      </c>
      <c r="J59" s="201">
        <f t="shared" si="2"/>
        <v>0.23529298321678324</v>
      </c>
      <c r="K59" s="202">
        <f t="shared" si="13"/>
        <v>0.30862872562247023</v>
      </c>
      <c r="L59" s="203">
        <f t="shared" ref="L59:L81" si="21">+J59-K59</f>
        <v>-7.3335742405686993E-2</v>
      </c>
      <c r="M59" s="204">
        <f t="shared" si="7"/>
        <v>-3.0284852290713964E-3</v>
      </c>
      <c r="N59" s="205">
        <f t="shared" si="8"/>
        <v>-7.6364227634758391E-2</v>
      </c>
      <c r="O59" s="204">
        <f t="shared" si="9"/>
        <v>0</v>
      </c>
      <c r="P59" s="204">
        <f t="shared" si="10"/>
        <v>0</v>
      </c>
      <c r="Q59" s="204">
        <v>0</v>
      </c>
      <c r="R59" s="205">
        <f t="shared" si="11"/>
        <v>-7.6364227634758391E-2</v>
      </c>
    </row>
    <row r="60" spans="1:18" x14ac:dyDescent="0.2">
      <c r="A60" s="162">
        <v>5</v>
      </c>
      <c r="B60" s="197">
        <f t="shared" si="4"/>
        <v>44682</v>
      </c>
      <c r="C60" s="217">
        <f t="shared" si="20"/>
        <v>44715</v>
      </c>
      <c r="D60" s="217">
        <f t="shared" si="20"/>
        <v>44735</v>
      </c>
      <c r="E60" s="54" t="s">
        <v>14</v>
      </c>
      <c r="F60" s="162">
        <v>9</v>
      </c>
      <c r="G60" s="199">
        <v>753</v>
      </c>
      <c r="H60" s="200">
        <f t="shared" si="5"/>
        <v>5.6216525614293303E-4</v>
      </c>
      <c r="I60" s="200">
        <f t="shared" si="1"/>
        <v>4.2858466888302956E-4</v>
      </c>
      <c r="J60" s="201">
        <f t="shared" si="2"/>
        <v>0.32272425566892127</v>
      </c>
      <c r="K60" s="202">
        <f t="shared" si="13"/>
        <v>0.42331043787562855</v>
      </c>
      <c r="L60" s="203">
        <f t="shared" si="21"/>
        <v>-0.10058618220670729</v>
      </c>
      <c r="M60" s="204">
        <f t="shared" si="7"/>
        <v>-4.1538240027154125E-3</v>
      </c>
      <c r="N60" s="205">
        <f t="shared" si="8"/>
        <v>-0.1047400062094227</v>
      </c>
      <c r="O60" s="204">
        <f t="shared" si="9"/>
        <v>0</v>
      </c>
      <c r="P60" s="204">
        <f t="shared" si="10"/>
        <v>0</v>
      </c>
      <c r="Q60" s="204">
        <v>0</v>
      </c>
      <c r="R60" s="205">
        <f t="shared" si="11"/>
        <v>-0.1047400062094227</v>
      </c>
    </row>
    <row r="61" spans="1:18" x14ac:dyDescent="0.2">
      <c r="A61" s="162">
        <v>6</v>
      </c>
      <c r="B61" s="197">
        <f t="shared" si="4"/>
        <v>44713</v>
      </c>
      <c r="C61" s="217">
        <f t="shared" si="20"/>
        <v>44747</v>
      </c>
      <c r="D61" s="217">
        <f t="shared" si="20"/>
        <v>44767</v>
      </c>
      <c r="E61" s="54" t="s">
        <v>14</v>
      </c>
      <c r="F61" s="162">
        <v>9</v>
      </c>
      <c r="G61" s="199">
        <v>942</v>
      </c>
      <c r="H61" s="200">
        <f t="shared" si="5"/>
        <v>5.6216525614293303E-4</v>
      </c>
      <c r="I61" s="200">
        <f t="shared" si="1"/>
        <v>4.2858466888302956E-4</v>
      </c>
      <c r="J61" s="201">
        <f t="shared" si="2"/>
        <v>0.40372675808781383</v>
      </c>
      <c r="K61" s="202">
        <f t="shared" si="13"/>
        <v>0.52955967128664294</v>
      </c>
      <c r="L61" s="207">
        <f t="shared" si="21"/>
        <v>-0.12583291319882911</v>
      </c>
      <c r="M61" s="204">
        <f t="shared" si="7"/>
        <v>-5.1964172782973696E-3</v>
      </c>
      <c r="N61" s="205">
        <f t="shared" si="8"/>
        <v>-0.13102933047712648</v>
      </c>
      <c r="O61" s="204">
        <f t="shared" si="9"/>
        <v>0</v>
      </c>
      <c r="P61" s="204">
        <f t="shared" si="10"/>
        <v>0</v>
      </c>
      <c r="Q61" s="204">
        <v>0</v>
      </c>
      <c r="R61" s="205">
        <f t="shared" si="11"/>
        <v>-0.13102933047712648</v>
      </c>
    </row>
    <row r="62" spans="1:18" x14ac:dyDescent="0.2">
      <c r="A62" s="125">
        <v>7</v>
      </c>
      <c r="B62" s="197">
        <f t="shared" si="4"/>
        <v>44743</v>
      </c>
      <c r="C62" s="217">
        <f t="shared" si="20"/>
        <v>44776</v>
      </c>
      <c r="D62" s="217">
        <f t="shared" si="20"/>
        <v>44796</v>
      </c>
      <c r="E62" s="54" t="s">
        <v>14</v>
      </c>
      <c r="F62" s="162">
        <v>9</v>
      </c>
      <c r="G62" s="199">
        <v>1036</v>
      </c>
      <c r="H62" s="200">
        <f t="shared" si="5"/>
        <v>5.6216525614293303E-4</v>
      </c>
      <c r="I62" s="200">
        <f t="shared" si="1"/>
        <v>4.2858466888302956E-4</v>
      </c>
      <c r="J62" s="201">
        <f t="shared" si="2"/>
        <v>0.44401371696281861</v>
      </c>
      <c r="K62" s="208">
        <f t="shared" si="13"/>
        <v>0.58240320536407864</v>
      </c>
      <c r="L62" s="207">
        <f t="shared" si="21"/>
        <v>-0.13838948840126003</v>
      </c>
      <c r="M62" s="204">
        <f t="shared" si="7"/>
        <v>-5.7149557328196113E-3</v>
      </c>
      <c r="N62" s="205">
        <f t="shared" si="8"/>
        <v>-0.14410444413407963</v>
      </c>
      <c r="O62" s="204">
        <f t="shared" si="9"/>
        <v>0</v>
      </c>
      <c r="P62" s="204">
        <f t="shared" si="10"/>
        <v>0</v>
      </c>
      <c r="Q62" s="204">
        <v>0</v>
      </c>
      <c r="R62" s="205">
        <f t="shared" si="11"/>
        <v>-0.14410444413407963</v>
      </c>
    </row>
    <row r="63" spans="1:18" x14ac:dyDescent="0.2">
      <c r="A63" s="162">
        <v>8</v>
      </c>
      <c r="B63" s="197">
        <f t="shared" si="4"/>
        <v>44774</v>
      </c>
      <c r="C63" s="217">
        <f t="shared" si="20"/>
        <v>44809</v>
      </c>
      <c r="D63" s="217">
        <f t="shared" si="20"/>
        <v>44827</v>
      </c>
      <c r="E63" s="54" t="s">
        <v>14</v>
      </c>
      <c r="F63" s="162">
        <v>9</v>
      </c>
      <c r="G63" s="199">
        <v>954</v>
      </c>
      <c r="H63" s="200">
        <f t="shared" si="5"/>
        <v>5.6216525614293303E-4</v>
      </c>
      <c r="I63" s="200">
        <f t="shared" si="1"/>
        <v>4.2858466888302956E-4</v>
      </c>
      <c r="J63" s="201">
        <f t="shared" si="2"/>
        <v>0.40886977411441022</v>
      </c>
      <c r="K63" s="208">
        <f t="shared" si="13"/>
        <v>0.53630565436035815</v>
      </c>
      <c r="L63" s="207">
        <f t="shared" si="21"/>
        <v>-0.12743588024594793</v>
      </c>
      <c r="M63" s="204">
        <f t="shared" si="7"/>
        <v>-5.2626136767470163E-3</v>
      </c>
      <c r="N63" s="205">
        <f t="shared" si="8"/>
        <v>-0.13269849392269495</v>
      </c>
      <c r="O63" s="204">
        <f t="shared" si="9"/>
        <v>0</v>
      </c>
      <c r="P63" s="204">
        <f t="shared" si="10"/>
        <v>0</v>
      </c>
      <c r="Q63" s="204">
        <v>0</v>
      </c>
      <c r="R63" s="205">
        <f t="shared" si="11"/>
        <v>-0.13269849392269495</v>
      </c>
    </row>
    <row r="64" spans="1:18" x14ac:dyDescent="0.2">
      <c r="A64" s="162">
        <v>9</v>
      </c>
      <c r="B64" s="197">
        <f t="shared" si="4"/>
        <v>44805</v>
      </c>
      <c r="C64" s="217">
        <f t="shared" si="20"/>
        <v>44839</v>
      </c>
      <c r="D64" s="217">
        <f t="shared" si="20"/>
        <v>44859</v>
      </c>
      <c r="E64" s="54" t="s">
        <v>14</v>
      </c>
      <c r="F64" s="162">
        <v>9</v>
      </c>
      <c r="G64" s="199">
        <v>860</v>
      </c>
      <c r="H64" s="200">
        <f t="shared" si="5"/>
        <v>5.6216525614293303E-4</v>
      </c>
      <c r="I64" s="200">
        <f t="shared" ref="I64:I107" si="22">$J$3</f>
        <v>4.2858466888302956E-4</v>
      </c>
      <c r="J64" s="201">
        <f t="shared" si="2"/>
        <v>0.36858281523940545</v>
      </c>
      <c r="K64" s="208">
        <f t="shared" si="13"/>
        <v>0.4834621202829224</v>
      </c>
      <c r="L64" s="207">
        <f t="shared" si="21"/>
        <v>-0.11487930504351695</v>
      </c>
      <c r="M64" s="204">
        <f t="shared" si="7"/>
        <v>-4.7440752222247745E-3</v>
      </c>
      <c r="N64" s="205">
        <f t="shared" si="8"/>
        <v>-0.11962338026574174</v>
      </c>
      <c r="O64" s="204">
        <f t="shared" si="9"/>
        <v>0</v>
      </c>
      <c r="P64" s="204">
        <f t="shared" si="10"/>
        <v>0</v>
      </c>
      <c r="Q64" s="204">
        <v>0</v>
      </c>
      <c r="R64" s="205">
        <f t="shared" si="11"/>
        <v>-0.11962338026574174</v>
      </c>
    </row>
    <row r="65" spans="1:18" x14ac:dyDescent="0.2">
      <c r="A65" s="125">
        <v>10</v>
      </c>
      <c r="B65" s="197">
        <f t="shared" si="4"/>
        <v>44835</v>
      </c>
      <c r="C65" s="217">
        <f t="shared" si="20"/>
        <v>44868</v>
      </c>
      <c r="D65" s="217">
        <f t="shared" si="20"/>
        <v>44888</v>
      </c>
      <c r="E65" s="54" t="s">
        <v>14</v>
      </c>
      <c r="F65" s="162">
        <v>9</v>
      </c>
      <c r="G65" s="199">
        <v>589</v>
      </c>
      <c r="H65" s="200">
        <f t="shared" si="5"/>
        <v>5.6216525614293303E-4</v>
      </c>
      <c r="I65" s="200">
        <f t="shared" si="22"/>
        <v>4.2858466888302956E-4</v>
      </c>
      <c r="J65" s="201">
        <f t="shared" si="2"/>
        <v>0.25243636997210439</v>
      </c>
      <c r="K65" s="208">
        <f t="shared" si="13"/>
        <v>0.33111533586818753</v>
      </c>
      <c r="L65" s="207">
        <f t="shared" si="21"/>
        <v>-7.8678965896083142E-2</v>
      </c>
      <c r="M65" s="204">
        <f t="shared" si="7"/>
        <v>-3.2491398905702233E-3</v>
      </c>
      <c r="N65" s="205">
        <f t="shared" si="8"/>
        <v>-8.1928105786653369E-2</v>
      </c>
      <c r="O65" s="204">
        <f t="shared" si="9"/>
        <v>0</v>
      </c>
      <c r="P65" s="204">
        <f t="shared" si="10"/>
        <v>0</v>
      </c>
      <c r="Q65" s="204">
        <v>0</v>
      </c>
      <c r="R65" s="205">
        <f t="shared" si="11"/>
        <v>-8.1928105786653369E-2</v>
      </c>
    </row>
    <row r="66" spans="1:18" x14ac:dyDescent="0.2">
      <c r="A66" s="162">
        <v>11</v>
      </c>
      <c r="B66" s="197">
        <f t="shared" si="4"/>
        <v>44866</v>
      </c>
      <c r="C66" s="217">
        <f t="shared" si="20"/>
        <v>44900</v>
      </c>
      <c r="D66" s="217">
        <f t="shared" si="20"/>
        <v>44918</v>
      </c>
      <c r="E66" s="54" t="s">
        <v>14</v>
      </c>
      <c r="F66" s="162">
        <v>9</v>
      </c>
      <c r="G66" s="199">
        <v>730</v>
      </c>
      <c r="H66" s="200">
        <f t="shared" si="5"/>
        <v>5.6216525614293303E-4</v>
      </c>
      <c r="I66" s="200">
        <f t="shared" si="22"/>
        <v>4.2858466888302956E-4</v>
      </c>
      <c r="J66" s="201">
        <f t="shared" si="2"/>
        <v>0.31286680828461155</v>
      </c>
      <c r="K66" s="208">
        <f t="shared" si="13"/>
        <v>0.41038063698434113</v>
      </c>
      <c r="L66" s="207">
        <f t="shared" si="21"/>
        <v>-9.7513828699729577E-2</v>
      </c>
      <c r="M66" s="204">
        <f t="shared" si="7"/>
        <v>-4.0269475723535876E-3</v>
      </c>
      <c r="N66" s="205">
        <f t="shared" si="8"/>
        <v>-0.10154077627208316</v>
      </c>
      <c r="O66" s="204">
        <f t="shared" si="9"/>
        <v>0</v>
      </c>
      <c r="P66" s="204">
        <f t="shared" si="10"/>
        <v>0</v>
      </c>
      <c r="Q66" s="204">
        <v>0</v>
      </c>
      <c r="R66" s="205">
        <f t="shared" si="11"/>
        <v>-0.10154077627208316</v>
      </c>
    </row>
    <row r="67" spans="1:18" s="221" customFormat="1" x14ac:dyDescent="0.2">
      <c r="A67" s="162">
        <v>12</v>
      </c>
      <c r="B67" s="219">
        <f t="shared" si="4"/>
        <v>44896</v>
      </c>
      <c r="C67" s="217">
        <f t="shared" si="20"/>
        <v>44930</v>
      </c>
      <c r="D67" s="217">
        <f t="shared" si="20"/>
        <v>44950</v>
      </c>
      <c r="E67" s="220" t="s">
        <v>14</v>
      </c>
      <c r="F67" s="173">
        <v>9</v>
      </c>
      <c r="G67" s="199">
        <v>1123</v>
      </c>
      <c r="H67" s="209">
        <f t="shared" si="5"/>
        <v>5.6216525614293303E-4</v>
      </c>
      <c r="I67" s="209">
        <f t="shared" si="22"/>
        <v>4.2858466888302956E-4</v>
      </c>
      <c r="J67" s="210">
        <f t="shared" si="2"/>
        <v>0.48130058315564217</v>
      </c>
      <c r="K67" s="211">
        <f t="shared" si="13"/>
        <v>0.63131158264851384</v>
      </c>
      <c r="L67" s="212">
        <f t="shared" si="21"/>
        <v>-0.15001099949287167</v>
      </c>
      <c r="M67" s="204">
        <f t="shared" si="7"/>
        <v>-6.194879621579559E-3</v>
      </c>
      <c r="N67" s="205">
        <f t="shared" si="8"/>
        <v>-0.15620587911445122</v>
      </c>
      <c r="O67" s="204">
        <f t="shared" si="9"/>
        <v>0</v>
      </c>
      <c r="P67" s="204">
        <f t="shared" si="10"/>
        <v>0</v>
      </c>
      <c r="Q67" s="204">
        <v>0</v>
      </c>
      <c r="R67" s="205">
        <f t="shared" si="11"/>
        <v>-0.15620587911445122</v>
      </c>
    </row>
    <row r="68" spans="1:18" x14ac:dyDescent="0.2">
      <c r="A68" s="125">
        <v>1</v>
      </c>
      <c r="B68" s="197">
        <f t="shared" si="4"/>
        <v>44562</v>
      </c>
      <c r="C68" s="214">
        <f t="shared" ref="C68:D79" si="23">+C56</f>
        <v>44595</v>
      </c>
      <c r="D68" s="214">
        <f t="shared" si="23"/>
        <v>44615</v>
      </c>
      <c r="E68" s="198" t="s">
        <v>85</v>
      </c>
      <c r="F68" s="125">
        <v>9</v>
      </c>
      <c r="G68" s="199">
        <v>48</v>
      </c>
      <c r="H68" s="200">
        <f>+$K$3</f>
        <v>5.6216525614293303E-4</v>
      </c>
      <c r="I68" s="200">
        <f t="shared" si="22"/>
        <v>4.2858466888302956E-4</v>
      </c>
      <c r="J68" s="201">
        <f t="shared" si="2"/>
        <v>2.0572064106385419E-2</v>
      </c>
      <c r="K68" s="202">
        <f t="shared" si="13"/>
        <v>2.6983932294860784E-2</v>
      </c>
      <c r="L68" s="203">
        <f t="shared" si="21"/>
        <v>-6.4118681884753649E-3</v>
      </c>
      <c r="M68" s="204">
        <f t="shared" si="7"/>
        <v>-2.6478559379859202E-4</v>
      </c>
      <c r="N68" s="205">
        <f t="shared" si="8"/>
        <v>-6.6766537822739568E-3</v>
      </c>
      <c r="O68" s="204">
        <f t="shared" si="9"/>
        <v>0</v>
      </c>
      <c r="P68" s="204">
        <f t="shared" si="10"/>
        <v>0</v>
      </c>
      <c r="Q68" s="204">
        <v>0</v>
      </c>
      <c r="R68" s="205">
        <f t="shared" si="11"/>
        <v>-6.6766537822739568E-3</v>
      </c>
    </row>
    <row r="69" spans="1:18" x14ac:dyDescent="0.2">
      <c r="A69" s="162">
        <v>2</v>
      </c>
      <c r="B69" s="197">
        <f t="shared" si="4"/>
        <v>44593</v>
      </c>
      <c r="C69" s="217">
        <f t="shared" si="23"/>
        <v>44623</v>
      </c>
      <c r="D69" s="217">
        <f t="shared" si="23"/>
        <v>44642</v>
      </c>
      <c r="E69" s="206" t="s">
        <v>85</v>
      </c>
      <c r="F69" s="162">
        <v>9</v>
      </c>
      <c r="G69" s="199">
        <v>45</v>
      </c>
      <c r="H69" s="200">
        <f t="shared" si="5"/>
        <v>5.6216525614293303E-4</v>
      </c>
      <c r="I69" s="200">
        <f t="shared" si="22"/>
        <v>4.2858466888302956E-4</v>
      </c>
      <c r="J69" s="201">
        <f t="shared" si="2"/>
        <v>1.9286310099736331E-2</v>
      </c>
      <c r="K69" s="202">
        <f t="shared" si="13"/>
        <v>2.5297436526431988E-2</v>
      </c>
      <c r="L69" s="203">
        <f t="shared" si="21"/>
        <v>-6.0111264266956566E-3</v>
      </c>
      <c r="M69" s="204">
        <f t="shared" si="7"/>
        <v>-2.4823649418618003E-4</v>
      </c>
      <c r="N69" s="205">
        <f t="shared" si="8"/>
        <v>-6.259362920881837E-3</v>
      </c>
      <c r="O69" s="204">
        <f t="shared" si="9"/>
        <v>0</v>
      </c>
      <c r="P69" s="204">
        <f t="shared" si="10"/>
        <v>0</v>
      </c>
      <c r="Q69" s="204">
        <v>0</v>
      </c>
      <c r="R69" s="205">
        <f t="shared" si="11"/>
        <v>-6.259362920881837E-3</v>
      </c>
    </row>
    <row r="70" spans="1:18" x14ac:dyDescent="0.2">
      <c r="A70" s="162">
        <v>3</v>
      </c>
      <c r="B70" s="197">
        <f t="shared" si="4"/>
        <v>44621</v>
      </c>
      <c r="C70" s="217">
        <f t="shared" si="23"/>
        <v>44656</v>
      </c>
      <c r="D70" s="217">
        <f t="shared" si="23"/>
        <v>44676</v>
      </c>
      <c r="E70" s="206" t="s">
        <v>85</v>
      </c>
      <c r="F70" s="162">
        <v>9</v>
      </c>
      <c r="G70" s="199">
        <v>38</v>
      </c>
      <c r="H70" s="200">
        <f t="shared" si="5"/>
        <v>5.6216525614293303E-4</v>
      </c>
      <c r="I70" s="200">
        <f t="shared" si="22"/>
        <v>4.2858466888302956E-4</v>
      </c>
      <c r="J70" s="201">
        <f t="shared" si="2"/>
        <v>1.6286217417555125E-2</v>
      </c>
      <c r="K70" s="202">
        <f t="shared" si="13"/>
        <v>2.1362279733431456E-2</v>
      </c>
      <c r="L70" s="203">
        <f>+J70-K70</f>
        <v>-5.0760623158763313E-3</v>
      </c>
      <c r="M70" s="204">
        <f t="shared" si="7"/>
        <v>-2.0962192842388536E-4</v>
      </c>
      <c r="N70" s="205">
        <f t="shared" si="8"/>
        <v>-5.2856842443002169E-3</v>
      </c>
      <c r="O70" s="204">
        <f t="shared" si="9"/>
        <v>0</v>
      </c>
      <c r="P70" s="204">
        <f t="shared" si="10"/>
        <v>0</v>
      </c>
      <c r="Q70" s="204">
        <v>0</v>
      </c>
      <c r="R70" s="205">
        <f t="shared" si="11"/>
        <v>-5.2856842443002169E-3</v>
      </c>
    </row>
    <row r="71" spans="1:18" x14ac:dyDescent="0.2">
      <c r="A71" s="125">
        <v>4</v>
      </c>
      <c r="B71" s="197">
        <f t="shared" si="4"/>
        <v>44652</v>
      </c>
      <c r="C71" s="217">
        <f t="shared" si="23"/>
        <v>44685</v>
      </c>
      <c r="D71" s="217">
        <f t="shared" si="23"/>
        <v>44705</v>
      </c>
      <c r="E71" s="206" t="s">
        <v>85</v>
      </c>
      <c r="F71" s="162">
        <v>9</v>
      </c>
      <c r="G71" s="199">
        <v>26</v>
      </c>
      <c r="H71" s="200">
        <f t="shared" si="5"/>
        <v>5.6216525614293303E-4</v>
      </c>
      <c r="I71" s="200">
        <f t="shared" si="22"/>
        <v>4.2858466888302956E-4</v>
      </c>
      <c r="J71" s="201">
        <f t="shared" si="2"/>
        <v>1.1143201390958769E-2</v>
      </c>
      <c r="K71" s="202">
        <f t="shared" si="13"/>
        <v>1.4616296659716258E-2</v>
      </c>
      <c r="L71" s="203">
        <f t="shared" ref="L71:L79" si="24">+J71-K71</f>
        <v>-3.4730952687574892E-3</v>
      </c>
      <c r="M71" s="204">
        <f t="shared" si="7"/>
        <v>-1.4342552997423735E-4</v>
      </c>
      <c r="N71" s="205">
        <f t="shared" si="8"/>
        <v>-3.6165207987317264E-3</v>
      </c>
      <c r="O71" s="204">
        <f t="shared" si="9"/>
        <v>0</v>
      </c>
      <c r="P71" s="204">
        <f t="shared" si="10"/>
        <v>0</v>
      </c>
      <c r="Q71" s="204">
        <v>0</v>
      </c>
      <c r="R71" s="205">
        <f t="shared" si="11"/>
        <v>-3.6165207987317264E-3</v>
      </c>
    </row>
    <row r="72" spans="1:18" x14ac:dyDescent="0.2">
      <c r="A72" s="162">
        <v>5</v>
      </c>
      <c r="B72" s="197">
        <f t="shared" si="4"/>
        <v>44682</v>
      </c>
      <c r="C72" s="217">
        <f t="shared" si="23"/>
        <v>44715</v>
      </c>
      <c r="D72" s="217">
        <f t="shared" si="23"/>
        <v>44735</v>
      </c>
      <c r="E72" s="206" t="s">
        <v>85</v>
      </c>
      <c r="F72" s="162">
        <v>9</v>
      </c>
      <c r="G72" s="199">
        <v>43</v>
      </c>
      <c r="H72" s="200">
        <f t="shared" si="5"/>
        <v>5.6216525614293303E-4</v>
      </c>
      <c r="I72" s="200">
        <f t="shared" si="22"/>
        <v>4.2858466888302956E-4</v>
      </c>
      <c r="J72" s="201">
        <f t="shared" si="2"/>
        <v>1.8429140761970272E-2</v>
      </c>
      <c r="K72" s="202">
        <f t="shared" si="13"/>
        <v>2.4173106014146122E-2</v>
      </c>
      <c r="L72" s="203">
        <f t="shared" si="24"/>
        <v>-5.7439652521758498E-3</v>
      </c>
      <c r="M72" s="204">
        <f t="shared" si="7"/>
        <v>-2.3720376111123872E-4</v>
      </c>
      <c r="N72" s="205">
        <f t="shared" si="8"/>
        <v>-5.9811690132870882E-3</v>
      </c>
      <c r="O72" s="204">
        <f t="shared" si="9"/>
        <v>0</v>
      </c>
      <c r="P72" s="204">
        <f t="shared" si="10"/>
        <v>0</v>
      </c>
      <c r="Q72" s="204">
        <v>0</v>
      </c>
      <c r="R72" s="205">
        <f t="shared" si="11"/>
        <v>-5.9811690132870882E-3</v>
      </c>
    </row>
    <row r="73" spans="1:18" x14ac:dyDescent="0.2">
      <c r="A73" s="162">
        <v>6</v>
      </c>
      <c r="B73" s="197">
        <f t="shared" si="4"/>
        <v>44713</v>
      </c>
      <c r="C73" s="217">
        <f t="shared" si="23"/>
        <v>44747</v>
      </c>
      <c r="D73" s="217">
        <f t="shared" si="23"/>
        <v>44767</v>
      </c>
      <c r="E73" s="206" t="s">
        <v>85</v>
      </c>
      <c r="F73" s="162">
        <v>9</v>
      </c>
      <c r="G73" s="199">
        <v>54</v>
      </c>
      <c r="H73" s="200">
        <f t="shared" si="5"/>
        <v>5.6216525614293303E-4</v>
      </c>
      <c r="I73" s="200">
        <f t="shared" si="22"/>
        <v>4.2858466888302956E-4</v>
      </c>
      <c r="J73" s="201">
        <f t="shared" si="2"/>
        <v>2.3143572119683598E-2</v>
      </c>
      <c r="K73" s="202">
        <f t="shared" si="13"/>
        <v>3.0356923831718383E-2</v>
      </c>
      <c r="L73" s="207">
        <f t="shared" si="24"/>
        <v>-7.2133517120347851E-3</v>
      </c>
      <c r="M73" s="204">
        <f t="shared" si="7"/>
        <v>-2.9788379302341607E-4</v>
      </c>
      <c r="N73" s="205">
        <f t="shared" si="8"/>
        <v>-7.5112355050582008E-3</v>
      </c>
      <c r="O73" s="204">
        <f t="shared" si="9"/>
        <v>0</v>
      </c>
      <c r="P73" s="204">
        <f t="shared" si="10"/>
        <v>0</v>
      </c>
      <c r="Q73" s="204">
        <v>0</v>
      </c>
      <c r="R73" s="205">
        <f t="shared" si="11"/>
        <v>-7.5112355050582008E-3</v>
      </c>
    </row>
    <row r="74" spans="1:18" x14ac:dyDescent="0.2">
      <c r="A74" s="125">
        <v>7</v>
      </c>
      <c r="B74" s="197">
        <f t="shared" si="4"/>
        <v>44743</v>
      </c>
      <c r="C74" s="217">
        <f t="shared" si="23"/>
        <v>44776</v>
      </c>
      <c r="D74" s="217">
        <f t="shared" si="23"/>
        <v>44796</v>
      </c>
      <c r="E74" s="206" t="s">
        <v>85</v>
      </c>
      <c r="F74" s="162">
        <v>9</v>
      </c>
      <c r="G74" s="199">
        <v>57</v>
      </c>
      <c r="H74" s="200">
        <f t="shared" si="5"/>
        <v>5.6216525614293303E-4</v>
      </c>
      <c r="I74" s="200">
        <f t="shared" si="22"/>
        <v>4.2858466888302956E-4</v>
      </c>
      <c r="J74" s="201">
        <f t="shared" si="2"/>
        <v>2.4429326126332685E-2</v>
      </c>
      <c r="K74" s="208">
        <f t="shared" si="13"/>
        <v>3.2043419600147185E-2</v>
      </c>
      <c r="L74" s="207">
        <f t="shared" si="24"/>
        <v>-7.6140934738145004E-3</v>
      </c>
      <c r="M74" s="204">
        <f t="shared" si="7"/>
        <v>-3.1443289263582806E-4</v>
      </c>
      <c r="N74" s="205">
        <f t="shared" si="8"/>
        <v>-7.9285263664503284E-3</v>
      </c>
      <c r="O74" s="204">
        <f t="shared" si="9"/>
        <v>0</v>
      </c>
      <c r="P74" s="204">
        <f t="shared" si="10"/>
        <v>0</v>
      </c>
      <c r="Q74" s="204">
        <v>0</v>
      </c>
      <c r="R74" s="205">
        <f t="shared" si="11"/>
        <v>-7.9285263664503284E-3</v>
      </c>
    </row>
    <row r="75" spans="1:18" x14ac:dyDescent="0.2">
      <c r="A75" s="162">
        <v>8</v>
      </c>
      <c r="B75" s="197">
        <f t="shared" si="4"/>
        <v>44774</v>
      </c>
      <c r="C75" s="217">
        <f t="shared" si="23"/>
        <v>44809</v>
      </c>
      <c r="D75" s="217">
        <f t="shared" si="23"/>
        <v>44827</v>
      </c>
      <c r="E75" s="206" t="s">
        <v>85</v>
      </c>
      <c r="F75" s="162">
        <v>9</v>
      </c>
      <c r="G75" s="199">
        <v>54</v>
      </c>
      <c r="H75" s="200">
        <f t="shared" si="5"/>
        <v>5.6216525614293303E-4</v>
      </c>
      <c r="I75" s="200">
        <f t="shared" si="22"/>
        <v>4.2858466888302956E-4</v>
      </c>
      <c r="J75" s="201">
        <f t="shared" si="2"/>
        <v>2.3143572119683598E-2</v>
      </c>
      <c r="K75" s="208">
        <f t="shared" si="13"/>
        <v>3.0356923831718383E-2</v>
      </c>
      <c r="L75" s="207">
        <f t="shared" si="24"/>
        <v>-7.2133517120347851E-3</v>
      </c>
      <c r="M75" s="204">
        <f t="shared" si="7"/>
        <v>-2.9788379302341607E-4</v>
      </c>
      <c r="N75" s="205">
        <f t="shared" si="8"/>
        <v>-7.5112355050582008E-3</v>
      </c>
      <c r="O75" s="204">
        <f t="shared" si="9"/>
        <v>0</v>
      </c>
      <c r="P75" s="204">
        <f t="shared" si="10"/>
        <v>0</v>
      </c>
      <c r="Q75" s="204">
        <v>0</v>
      </c>
      <c r="R75" s="205">
        <f t="shared" si="11"/>
        <v>-7.5112355050582008E-3</v>
      </c>
    </row>
    <row r="76" spans="1:18" x14ac:dyDescent="0.2">
      <c r="A76" s="162">
        <v>9</v>
      </c>
      <c r="B76" s="197">
        <f t="shared" si="4"/>
        <v>44805</v>
      </c>
      <c r="C76" s="217">
        <f t="shared" si="23"/>
        <v>44839</v>
      </c>
      <c r="D76" s="217">
        <f t="shared" si="23"/>
        <v>44859</v>
      </c>
      <c r="E76" s="206" t="s">
        <v>85</v>
      </c>
      <c r="F76" s="162">
        <v>9</v>
      </c>
      <c r="G76" s="199">
        <v>53</v>
      </c>
      <c r="H76" s="200">
        <f t="shared" si="5"/>
        <v>5.6216525614293303E-4</v>
      </c>
      <c r="I76" s="200">
        <f t="shared" si="22"/>
        <v>4.2858466888302956E-4</v>
      </c>
      <c r="J76" s="201">
        <f t="shared" si="2"/>
        <v>2.2714987450800566E-2</v>
      </c>
      <c r="K76" s="208">
        <f t="shared" si="13"/>
        <v>2.9794758575575449E-2</v>
      </c>
      <c r="L76" s="207">
        <f t="shared" si="24"/>
        <v>-7.0797711247748835E-3</v>
      </c>
      <c r="M76" s="204">
        <f t="shared" si="7"/>
        <v>-2.9236742648594538E-4</v>
      </c>
      <c r="N76" s="205">
        <f t="shared" si="8"/>
        <v>-7.372138551260829E-3</v>
      </c>
      <c r="O76" s="204">
        <f t="shared" si="9"/>
        <v>0</v>
      </c>
      <c r="P76" s="204">
        <f t="shared" si="10"/>
        <v>0</v>
      </c>
      <c r="Q76" s="204">
        <v>0</v>
      </c>
      <c r="R76" s="205">
        <f t="shared" si="11"/>
        <v>-7.372138551260829E-3</v>
      </c>
    </row>
    <row r="77" spans="1:18" x14ac:dyDescent="0.2">
      <c r="A77" s="125">
        <v>10</v>
      </c>
      <c r="B77" s="197">
        <f t="shared" si="4"/>
        <v>44835</v>
      </c>
      <c r="C77" s="217">
        <f t="shared" si="23"/>
        <v>44868</v>
      </c>
      <c r="D77" s="217">
        <f t="shared" si="23"/>
        <v>44888</v>
      </c>
      <c r="E77" s="206" t="s">
        <v>85</v>
      </c>
      <c r="F77" s="162">
        <v>9</v>
      </c>
      <c r="G77" s="199">
        <v>31</v>
      </c>
      <c r="H77" s="200">
        <f t="shared" si="5"/>
        <v>5.6216525614293303E-4</v>
      </c>
      <c r="I77" s="200">
        <f t="shared" si="22"/>
        <v>4.2858466888302956E-4</v>
      </c>
      <c r="J77" s="201">
        <f t="shared" si="2"/>
        <v>1.3286124735373916E-2</v>
      </c>
      <c r="K77" s="208">
        <f t="shared" si="13"/>
        <v>1.7427122940430924E-2</v>
      </c>
      <c r="L77" s="207">
        <f t="shared" si="24"/>
        <v>-4.1409982050570077E-3</v>
      </c>
      <c r="M77" s="204">
        <f t="shared" si="7"/>
        <v>-1.7100736266159068E-4</v>
      </c>
      <c r="N77" s="205">
        <f t="shared" si="8"/>
        <v>-4.3120055677185985E-3</v>
      </c>
      <c r="O77" s="204">
        <f t="shared" si="9"/>
        <v>0</v>
      </c>
      <c r="P77" s="204">
        <f t="shared" si="10"/>
        <v>0</v>
      </c>
      <c r="Q77" s="204">
        <v>0</v>
      </c>
      <c r="R77" s="205">
        <f t="shared" si="11"/>
        <v>-4.3120055677185985E-3</v>
      </c>
    </row>
    <row r="78" spans="1:18" x14ac:dyDescent="0.2">
      <c r="A78" s="162">
        <v>11</v>
      </c>
      <c r="B78" s="197">
        <f t="shared" si="4"/>
        <v>44866</v>
      </c>
      <c r="C78" s="217">
        <f t="shared" si="23"/>
        <v>44900</v>
      </c>
      <c r="D78" s="217">
        <f t="shared" si="23"/>
        <v>44918</v>
      </c>
      <c r="E78" s="206" t="s">
        <v>85</v>
      </c>
      <c r="F78" s="162">
        <v>9</v>
      </c>
      <c r="G78" s="199">
        <v>38</v>
      </c>
      <c r="H78" s="200">
        <f t="shared" si="5"/>
        <v>5.6216525614293303E-4</v>
      </c>
      <c r="I78" s="200">
        <f t="shared" si="22"/>
        <v>4.2858466888302956E-4</v>
      </c>
      <c r="J78" s="201">
        <f t="shared" si="2"/>
        <v>1.6286217417555125E-2</v>
      </c>
      <c r="K78" s="208">
        <f>+$G78*H78</f>
        <v>2.1362279733431456E-2</v>
      </c>
      <c r="L78" s="207">
        <f t="shared" si="24"/>
        <v>-5.0760623158763313E-3</v>
      </c>
      <c r="M78" s="204">
        <f t="shared" si="7"/>
        <v>-2.0962192842388536E-4</v>
      </c>
      <c r="N78" s="205">
        <f t="shared" si="8"/>
        <v>-5.2856842443002169E-3</v>
      </c>
      <c r="O78" s="204">
        <f t="shared" si="9"/>
        <v>0</v>
      </c>
      <c r="P78" s="204">
        <f t="shared" si="10"/>
        <v>0</v>
      </c>
      <c r="Q78" s="204">
        <v>0</v>
      </c>
      <c r="R78" s="205">
        <f t="shared" si="11"/>
        <v>-5.2856842443002169E-3</v>
      </c>
    </row>
    <row r="79" spans="1:18" s="221" customFormat="1" x14ac:dyDescent="0.2">
      <c r="A79" s="162">
        <v>12</v>
      </c>
      <c r="B79" s="219">
        <f t="shared" si="4"/>
        <v>44896</v>
      </c>
      <c r="C79" s="222">
        <f t="shared" si="23"/>
        <v>44930</v>
      </c>
      <c r="D79" s="222">
        <f t="shared" si="23"/>
        <v>44950</v>
      </c>
      <c r="E79" s="223" t="s">
        <v>85</v>
      </c>
      <c r="F79" s="173">
        <v>9</v>
      </c>
      <c r="G79" s="199">
        <v>58</v>
      </c>
      <c r="H79" s="209">
        <f t="shared" si="5"/>
        <v>5.6216525614293303E-4</v>
      </c>
      <c r="I79" s="209">
        <f t="shared" si="22"/>
        <v>4.2858466888302956E-4</v>
      </c>
      <c r="J79" s="210">
        <f t="shared" si="2"/>
        <v>2.4857910795215713E-2</v>
      </c>
      <c r="K79" s="211">
        <f>+$G79*H79</f>
        <v>3.2605584856290115E-2</v>
      </c>
      <c r="L79" s="212">
        <f t="shared" si="24"/>
        <v>-7.747674061074402E-3</v>
      </c>
      <c r="M79" s="204">
        <f t="shared" si="7"/>
        <v>-3.1994925917329874E-4</v>
      </c>
      <c r="N79" s="205">
        <f t="shared" si="8"/>
        <v>-8.0676233202477011E-3</v>
      </c>
      <c r="O79" s="204">
        <f t="shared" si="9"/>
        <v>0</v>
      </c>
      <c r="P79" s="204">
        <f t="shared" si="10"/>
        <v>0</v>
      </c>
      <c r="Q79" s="204">
        <v>0</v>
      </c>
      <c r="R79" s="205">
        <f t="shared" si="11"/>
        <v>-8.0676233202477011E-3</v>
      </c>
    </row>
    <row r="80" spans="1:18" s="52" customFormat="1" ht="12.75" customHeight="1" x14ac:dyDescent="0.2">
      <c r="A80" s="125">
        <v>1</v>
      </c>
      <c r="B80" s="197">
        <f t="shared" si="4"/>
        <v>44562</v>
      </c>
      <c r="C80" s="214">
        <f t="shared" ref="C80:D91" si="25">+C56</f>
        <v>44595</v>
      </c>
      <c r="D80" s="214">
        <f t="shared" si="25"/>
        <v>44615</v>
      </c>
      <c r="E80" s="198" t="s">
        <v>9</v>
      </c>
      <c r="F80" s="125">
        <v>9</v>
      </c>
      <c r="G80" s="199">
        <v>50</v>
      </c>
      <c r="H80" s="200">
        <f>+$K$3</f>
        <v>5.6216525614293303E-4</v>
      </c>
      <c r="I80" s="200">
        <f t="shared" si="22"/>
        <v>4.2858466888302956E-4</v>
      </c>
      <c r="J80" s="201">
        <f t="shared" si="2"/>
        <v>2.1429233444151478E-2</v>
      </c>
      <c r="K80" s="202">
        <f t="shared" si="13"/>
        <v>2.810826280714665E-2</v>
      </c>
      <c r="L80" s="203">
        <f t="shared" si="21"/>
        <v>-6.6790293629951716E-3</v>
      </c>
      <c r="M80" s="204">
        <f t="shared" si="7"/>
        <v>-2.7581832687353333E-4</v>
      </c>
      <c r="N80" s="205">
        <f t="shared" si="8"/>
        <v>-6.9548476898687048E-3</v>
      </c>
      <c r="O80" s="204">
        <f t="shared" si="9"/>
        <v>0</v>
      </c>
      <c r="P80" s="204">
        <f t="shared" si="10"/>
        <v>0</v>
      </c>
      <c r="Q80" s="204">
        <v>0</v>
      </c>
      <c r="R80" s="205">
        <f t="shared" si="11"/>
        <v>-6.9548476898687048E-3</v>
      </c>
    </row>
    <row r="81" spans="1:18" x14ac:dyDescent="0.2">
      <c r="A81" s="162">
        <v>2</v>
      </c>
      <c r="B81" s="197">
        <f t="shared" si="4"/>
        <v>44593</v>
      </c>
      <c r="C81" s="217">
        <f t="shared" si="25"/>
        <v>44623</v>
      </c>
      <c r="D81" s="217">
        <f t="shared" si="25"/>
        <v>44642</v>
      </c>
      <c r="E81" s="206" t="s">
        <v>9</v>
      </c>
      <c r="F81" s="162">
        <v>9</v>
      </c>
      <c r="G81" s="199">
        <v>49</v>
      </c>
      <c r="H81" s="200">
        <f t="shared" si="5"/>
        <v>5.6216525614293303E-4</v>
      </c>
      <c r="I81" s="200">
        <f t="shared" si="22"/>
        <v>4.2858466888302956E-4</v>
      </c>
      <c r="J81" s="201">
        <f t="shared" si="2"/>
        <v>2.1000648775268447E-2</v>
      </c>
      <c r="K81" s="202">
        <f t="shared" si="13"/>
        <v>2.7546097551003717E-2</v>
      </c>
      <c r="L81" s="203">
        <f t="shared" si="21"/>
        <v>-6.54544877573527E-3</v>
      </c>
      <c r="M81" s="204">
        <f t="shared" si="7"/>
        <v>-2.7030196033606271E-4</v>
      </c>
      <c r="N81" s="205">
        <f t="shared" si="8"/>
        <v>-6.815750736071333E-3</v>
      </c>
      <c r="O81" s="204">
        <f t="shared" si="9"/>
        <v>0</v>
      </c>
      <c r="P81" s="204">
        <f t="shared" si="10"/>
        <v>0</v>
      </c>
      <c r="Q81" s="204">
        <v>0</v>
      </c>
      <c r="R81" s="205">
        <f t="shared" si="11"/>
        <v>-6.815750736071333E-3</v>
      </c>
    </row>
    <row r="82" spans="1:18" x14ac:dyDescent="0.2">
      <c r="A82" s="162">
        <v>3</v>
      </c>
      <c r="B82" s="197">
        <f t="shared" si="4"/>
        <v>44621</v>
      </c>
      <c r="C82" s="217">
        <f t="shared" si="25"/>
        <v>44656</v>
      </c>
      <c r="D82" s="217">
        <f t="shared" si="25"/>
        <v>44676</v>
      </c>
      <c r="E82" s="206" t="s">
        <v>9</v>
      </c>
      <c r="F82" s="162">
        <v>9</v>
      </c>
      <c r="G82" s="199">
        <v>45</v>
      </c>
      <c r="H82" s="200">
        <f t="shared" si="5"/>
        <v>5.6216525614293303E-4</v>
      </c>
      <c r="I82" s="200">
        <f t="shared" si="22"/>
        <v>4.2858466888302956E-4</v>
      </c>
      <c r="J82" s="201">
        <f t="shared" si="2"/>
        <v>1.9286310099736331E-2</v>
      </c>
      <c r="K82" s="202">
        <f t="shared" si="13"/>
        <v>2.5297436526431988E-2</v>
      </c>
      <c r="L82" s="203">
        <f>+J82-K82</f>
        <v>-6.0111264266956566E-3</v>
      </c>
      <c r="M82" s="204">
        <f t="shared" si="7"/>
        <v>-2.4823649418618003E-4</v>
      </c>
      <c r="N82" s="205">
        <f t="shared" si="8"/>
        <v>-6.259362920881837E-3</v>
      </c>
      <c r="O82" s="204">
        <f t="shared" si="9"/>
        <v>0</v>
      </c>
      <c r="P82" s="204">
        <f t="shared" si="10"/>
        <v>0</v>
      </c>
      <c r="Q82" s="204">
        <v>0</v>
      </c>
      <c r="R82" s="205">
        <f t="shared" si="11"/>
        <v>-6.259362920881837E-3</v>
      </c>
    </row>
    <row r="83" spans="1:18" ht="12" customHeight="1" x14ac:dyDescent="0.2">
      <c r="A83" s="125">
        <v>4</v>
      </c>
      <c r="B83" s="197">
        <f t="shared" si="4"/>
        <v>44652</v>
      </c>
      <c r="C83" s="217">
        <f t="shared" si="25"/>
        <v>44685</v>
      </c>
      <c r="D83" s="217">
        <f t="shared" si="25"/>
        <v>44705</v>
      </c>
      <c r="E83" s="54" t="s">
        <v>9</v>
      </c>
      <c r="F83" s="162">
        <v>9</v>
      </c>
      <c r="G83" s="199">
        <v>34</v>
      </c>
      <c r="H83" s="200">
        <f t="shared" si="5"/>
        <v>5.6216525614293303E-4</v>
      </c>
      <c r="I83" s="200">
        <f t="shared" si="22"/>
        <v>4.2858466888302956E-4</v>
      </c>
      <c r="J83" s="201">
        <f t="shared" si="2"/>
        <v>1.4571878742023005E-2</v>
      </c>
      <c r="K83" s="202">
        <f t="shared" si="13"/>
        <v>1.9113618708859723E-2</v>
      </c>
      <c r="L83" s="203">
        <f t="shared" ref="L83:L93" si="26">+J83-K83</f>
        <v>-4.5417399668367178E-3</v>
      </c>
      <c r="M83" s="204">
        <f t="shared" si="7"/>
        <v>-1.8755646227400271E-4</v>
      </c>
      <c r="N83" s="205">
        <f t="shared" si="8"/>
        <v>-4.7292964291107209E-3</v>
      </c>
      <c r="O83" s="204">
        <f t="shared" si="9"/>
        <v>0</v>
      </c>
      <c r="P83" s="204">
        <f t="shared" si="10"/>
        <v>0</v>
      </c>
      <c r="Q83" s="204">
        <v>0</v>
      </c>
      <c r="R83" s="205">
        <f t="shared" si="11"/>
        <v>-4.7292964291107209E-3</v>
      </c>
    </row>
    <row r="84" spans="1:18" ht="12" customHeight="1" x14ac:dyDescent="0.2">
      <c r="A84" s="162">
        <v>5</v>
      </c>
      <c r="B84" s="197">
        <f t="shared" si="4"/>
        <v>44682</v>
      </c>
      <c r="C84" s="217">
        <f t="shared" si="25"/>
        <v>44715</v>
      </c>
      <c r="D84" s="217">
        <f t="shared" si="25"/>
        <v>44735</v>
      </c>
      <c r="E84" s="54" t="s">
        <v>9</v>
      </c>
      <c r="F84" s="162">
        <v>9</v>
      </c>
      <c r="G84" s="199">
        <v>42</v>
      </c>
      <c r="H84" s="200">
        <f t="shared" si="5"/>
        <v>5.6216525614293303E-4</v>
      </c>
      <c r="I84" s="200">
        <f t="shared" si="22"/>
        <v>4.2858466888302956E-4</v>
      </c>
      <c r="J84" s="201">
        <f t="shared" si="2"/>
        <v>1.800055609308724E-2</v>
      </c>
      <c r="K84" s="202">
        <f t="shared" si="13"/>
        <v>2.3610940758003188E-2</v>
      </c>
      <c r="L84" s="203">
        <f t="shared" si="26"/>
        <v>-5.6103846649159482E-3</v>
      </c>
      <c r="M84" s="204">
        <f t="shared" si="7"/>
        <v>-2.3168739457376803E-4</v>
      </c>
      <c r="N84" s="205">
        <f t="shared" si="8"/>
        <v>-5.8420720594897163E-3</v>
      </c>
      <c r="O84" s="204">
        <f t="shared" si="9"/>
        <v>0</v>
      </c>
      <c r="P84" s="204">
        <f t="shared" si="10"/>
        <v>0</v>
      </c>
      <c r="Q84" s="204">
        <v>0</v>
      </c>
      <c r="R84" s="205">
        <f t="shared" si="11"/>
        <v>-5.8420720594897163E-3</v>
      </c>
    </row>
    <row r="85" spans="1:18" x14ac:dyDescent="0.2">
      <c r="A85" s="162">
        <v>6</v>
      </c>
      <c r="B85" s="197">
        <f t="shared" si="4"/>
        <v>44713</v>
      </c>
      <c r="C85" s="217">
        <f t="shared" si="25"/>
        <v>44747</v>
      </c>
      <c r="D85" s="217">
        <f t="shared" si="25"/>
        <v>44767</v>
      </c>
      <c r="E85" s="54" t="s">
        <v>9</v>
      </c>
      <c r="F85" s="162">
        <v>9</v>
      </c>
      <c r="G85" s="199">
        <v>49</v>
      </c>
      <c r="H85" s="200">
        <f t="shared" ref="H85:H91" si="27">+$K$3</f>
        <v>5.6216525614293303E-4</v>
      </c>
      <c r="I85" s="200">
        <f t="shared" si="22"/>
        <v>4.2858466888302956E-4</v>
      </c>
      <c r="J85" s="201">
        <f t="shared" si="2"/>
        <v>2.1000648775268447E-2</v>
      </c>
      <c r="K85" s="202">
        <f t="shared" si="13"/>
        <v>2.7546097551003717E-2</v>
      </c>
      <c r="L85" s="207">
        <f t="shared" si="26"/>
        <v>-6.54544877573527E-3</v>
      </c>
      <c r="M85" s="204">
        <f t="shared" ref="M85:M148" si="28">G85/$G$212*$M$14</f>
        <v>-2.7030196033606271E-4</v>
      </c>
      <c r="N85" s="205">
        <f t="shared" ref="N85:N148" si="29">SUM(L85:M85)</f>
        <v>-6.815750736071333E-3</v>
      </c>
      <c r="O85" s="204">
        <f t="shared" ref="O85:O148" si="30">+$P$3</f>
        <v>0</v>
      </c>
      <c r="P85" s="204">
        <f t="shared" ref="P85:P148" si="31">+G85*O85</f>
        <v>0</v>
      </c>
      <c r="Q85" s="204">
        <v>0</v>
      </c>
      <c r="R85" s="205">
        <f t="shared" ref="R85:R148" si="32">+N85-Q85</f>
        <v>-6.815750736071333E-3</v>
      </c>
    </row>
    <row r="86" spans="1:18" x14ac:dyDescent="0.2">
      <c r="A86" s="125">
        <v>7</v>
      </c>
      <c r="B86" s="197">
        <f t="shared" si="4"/>
        <v>44743</v>
      </c>
      <c r="C86" s="217">
        <f t="shared" si="25"/>
        <v>44776</v>
      </c>
      <c r="D86" s="217">
        <f t="shared" si="25"/>
        <v>44796</v>
      </c>
      <c r="E86" s="54" t="s">
        <v>9</v>
      </c>
      <c r="F86" s="162">
        <v>9</v>
      </c>
      <c r="G86" s="199">
        <v>54</v>
      </c>
      <c r="H86" s="200">
        <f t="shared" si="27"/>
        <v>5.6216525614293303E-4</v>
      </c>
      <c r="I86" s="200">
        <f t="shared" si="22"/>
        <v>4.2858466888302956E-4</v>
      </c>
      <c r="J86" s="201">
        <f t="shared" si="2"/>
        <v>2.3143572119683598E-2</v>
      </c>
      <c r="K86" s="208">
        <f t="shared" si="13"/>
        <v>3.0356923831718383E-2</v>
      </c>
      <c r="L86" s="207">
        <f t="shared" si="26"/>
        <v>-7.2133517120347851E-3</v>
      </c>
      <c r="M86" s="204">
        <f t="shared" si="28"/>
        <v>-2.9788379302341607E-4</v>
      </c>
      <c r="N86" s="205">
        <f t="shared" si="29"/>
        <v>-7.5112355050582008E-3</v>
      </c>
      <c r="O86" s="204">
        <f t="shared" si="30"/>
        <v>0</v>
      </c>
      <c r="P86" s="204">
        <f t="shared" si="31"/>
        <v>0</v>
      </c>
      <c r="Q86" s="204">
        <v>0</v>
      </c>
      <c r="R86" s="205">
        <f t="shared" si="32"/>
        <v>-7.5112355050582008E-3</v>
      </c>
    </row>
    <row r="87" spans="1:18" x14ac:dyDescent="0.2">
      <c r="A87" s="162">
        <v>8</v>
      </c>
      <c r="B87" s="197">
        <f t="shared" si="4"/>
        <v>44774</v>
      </c>
      <c r="C87" s="217">
        <f t="shared" si="25"/>
        <v>44809</v>
      </c>
      <c r="D87" s="217">
        <f t="shared" si="25"/>
        <v>44827</v>
      </c>
      <c r="E87" s="54" t="s">
        <v>9</v>
      </c>
      <c r="F87" s="162">
        <v>9</v>
      </c>
      <c r="G87" s="199">
        <v>47</v>
      </c>
      <c r="H87" s="200">
        <f t="shared" si="27"/>
        <v>5.6216525614293303E-4</v>
      </c>
      <c r="I87" s="200">
        <f t="shared" si="22"/>
        <v>4.2858466888302956E-4</v>
      </c>
      <c r="J87" s="201">
        <f t="shared" si="2"/>
        <v>2.0143479437502391E-2</v>
      </c>
      <c r="K87" s="208">
        <f t="shared" si="13"/>
        <v>2.6421767038717854E-2</v>
      </c>
      <c r="L87" s="207">
        <f t="shared" si="26"/>
        <v>-6.2782876012154633E-3</v>
      </c>
      <c r="M87" s="204">
        <f t="shared" si="28"/>
        <v>-2.5926922726112139E-4</v>
      </c>
      <c r="N87" s="205">
        <f t="shared" si="29"/>
        <v>-6.537556828476585E-3</v>
      </c>
      <c r="O87" s="204">
        <f t="shared" si="30"/>
        <v>0</v>
      </c>
      <c r="P87" s="204">
        <f t="shared" si="31"/>
        <v>0</v>
      </c>
      <c r="Q87" s="204">
        <v>0</v>
      </c>
      <c r="R87" s="205">
        <f t="shared" si="32"/>
        <v>-6.537556828476585E-3</v>
      </c>
    </row>
    <row r="88" spans="1:18" x14ac:dyDescent="0.2">
      <c r="A88" s="162">
        <v>9</v>
      </c>
      <c r="B88" s="197">
        <f t="shared" si="4"/>
        <v>44805</v>
      </c>
      <c r="C88" s="217">
        <f t="shared" si="25"/>
        <v>44839</v>
      </c>
      <c r="D88" s="217">
        <f t="shared" si="25"/>
        <v>44859</v>
      </c>
      <c r="E88" s="54" t="s">
        <v>9</v>
      </c>
      <c r="F88" s="162">
        <v>9</v>
      </c>
      <c r="G88" s="199">
        <v>47</v>
      </c>
      <c r="H88" s="200">
        <f t="shared" si="27"/>
        <v>5.6216525614293303E-4</v>
      </c>
      <c r="I88" s="200">
        <f t="shared" si="22"/>
        <v>4.2858466888302956E-4</v>
      </c>
      <c r="J88" s="201">
        <f t="shared" si="2"/>
        <v>2.0143479437502391E-2</v>
      </c>
      <c r="K88" s="208">
        <f t="shared" si="13"/>
        <v>2.6421767038717854E-2</v>
      </c>
      <c r="L88" s="207">
        <f t="shared" si="26"/>
        <v>-6.2782876012154633E-3</v>
      </c>
      <c r="M88" s="204">
        <f t="shared" si="28"/>
        <v>-2.5926922726112139E-4</v>
      </c>
      <c r="N88" s="205">
        <f t="shared" si="29"/>
        <v>-6.537556828476585E-3</v>
      </c>
      <c r="O88" s="204">
        <f t="shared" si="30"/>
        <v>0</v>
      </c>
      <c r="P88" s="204">
        <f t="shared" si="31"/>
        <v>0</v>
      </c>
      <c r="Q88" s="204">
        <v>0</v>
      </c>
      <c r="R88" s="205">
        <f t="shared" si="32"/>
        <v>-6.537556828476585E-3</v>
      </c>
    </row>
    <row r="89" spans="1:18" x14ac:dyDescent="0.2">
      <c r="A89" s="125">
        <v>10</v>
      </c>
      <c r="B89" s="197">
        <f t="shared" si="4"/>
        <v>44835</v>
      </c>
      <c r="C89" s="217">
        <f t="shared" si="25"/>
        <v>44868</v>
      </c>
      <c r="D89" s="217">
        <f t="shared" si="25"/>
        <v>44888</v>
      </c>
      <c r="E89" s="54" t="s">
        <v>9</v>
      </c>
      <c r="F89" s="162">
        <v>9</v>
      </c>
      <c r="G89" s="199">
        <v>39</v>
      </c>
      <c r="H89" s="200">
        <f t="shared" si="27"/>
        <v>5.6216525614293303E-4</v>
      </c>
      <c r="I89" s="200">
        <f t="shared" si="22"/>
        <v>4.2858466888302956E-4</v>
      </c>
      <c r="J89" s="201">
        <f t="shared" si="2"/>
        <v>1.6714802086438153E-2</v>
      </c>
      <c r="K89" s="208">
        <f t="shared" si="13"/>
        <v>2.1924444989574389E-2</v>
      </c>
      <c r="L89" s="207">
        <f t="shared" si="26"/>
        <v>-5.2096429031362364E-3</v>
      </c>
      <c r="M89" s="204">
        <f t="shared" si="28"/>
        <v>-2.1513829496135601E-4</v>
      </c>
      <c r="N89" s="205">
        <f t="shared" si="29"/>
        <v>-5.4247811980975922E-3</v>
      </c>
      <c r="O89" s="204">
        <f t="shared" si="30"/>
        <v>0</v>
      </c>
      <c r="P89" s="204">
        <f t="shared" si="31"/>
        <v>0</v>
      </c>
      <c r="Q89" s="204">
        <v>0</v>
      </c>
      <c r="R89" s="205">
        <f t="shared" si="32"/>
        <v>-5.4247811980975922E-3</v>
      </c>
    </row>
    <row r="90" spans="1:18" x14ac:dyDescent="0.2">
      <c r="A90" s="162">
        <v>11</v>
      </c>
      <c r="B90" s="197">
        <f t="shared" si="4"/>
        <v>44866</v>
      </c>
      <c r="C90" s="217">
        <f t="shared" si="25"/>
        <v>44900</v>
      </c>
      <c r="D90" s="217">
        <f t="shared" si="25"/>
        <v>44918</v>
      </c>
      <c r="E90" s="54" t="s">
        <v>9</v>
      </c>
      <c r="F90" s="162">
        <v>9</v>
      </c>
      <c r="G90" s="199">
        <v>45</v>
      </c>
      <c r="H90" s="200">
        <f t="shared" si="27"/>
        <v>5.6216525614293303E-4</v>
      </c>
      <c r="I90" s="200">
        <f t="shared" si="22"/>
        <v>4.2858466888302956E-4</v>
      </c>
      <c r="J90" s="201">
        <f t="shared" si="2"/>
        <v>1.9286310099736331E-2</v>
      </c>
      <c r="K90" s="208">
        <f t="shared" si="13"/>
        <v>2.5297436526431988E-2</v>
      </c>
      <c r="L90" s="207">
        <f t="shared" si="26"/>
        <v>-6.0111264266956566E-3</v>
      </c>
      <c r="M90" s="204">
        <f t="shared" si="28"/>
        <v>-2.4823649418618003E-4</v>
      </c>
      <c r="N90" s="205">
        <f t="shared" si="29"/>
        <v>-6.259362920881837E-3</v>
      </c>
      <c r="O90" s="204">
        <f t="shared" si="30"/>
        <v>0</v>
      </c>
      <c r="P90" s="204">
        <f t="shared" si="31"/>
        <v>0</v>
      </c>
      <c r="Q90" s="204">
        <v>0</v>
      </c>
      <c r="R90" s="205">
        <f t="shared" si="32"/>
        <v>-6.259362920881837E-3</v>
      </c>
    </row>
    <row r="91" spans="1:18" s="221" customFormat="1" x14ac:dyDescent="0.2">
      <c r="A91" s="162">
        <v>12</v>
      </c>
      <c r="B91" s="219">
        <f t="shared" si="4"/>
        <v>44896</v>
      </c>
      <c r="C91" s="217">
        <f t="shared" si="25"/>
        <v>44930</v>
      </c>
      <c r="D91" s="217">
        <f t="shared" si="25"/>
        <v>44950</v>
      </c>
      <c r="E91" s="220" t="s">
        <v>9</v>
      </c>
      <c r="F91" s="173">
        <v>9</v>
      </c>
      <c r="G91" s="199">
        <v>61</v>
      </c>
      <c r="H91" s="209">
        <f t="shared" si="27"/>
        <v>5.6216525614293303E-4</v>
      </c>
      <c r="I91" s="209">
        <f t="shared" si="22"/>
        <v>4.2858466888302956E-4</v>
      </c>
      <c r="J91" s="210">
        <f t="shared" si="2"/>
        <v>2.6143664801864804E-2</v>
      </c>
      <c r="K91" s="211">
        <f t="shared" si="13"/>
        <v>3.4292080624718918E-2</v>
      </c>
      <c r="L91" s="212">
        <f t="shared" si="26"/>
        <v>-8.1484158228541138E-3</v>
      </c>
      <c r="M91" s="204">
        <f t="shared" si="28"/>
        <v>-3.3649835878571068E-4</v>
      </c>
      <c r="N91" s="205">
        <f t="shared" si="29"/>
        <v>-8.4849141816398244E-3</v>
      </c>
      <c r="O91" s="204">
        <f t="shared" si="30"/>
        <v>0</v>
      </c>
      <c r="P91" s="204">
        <f t="shared" si="31"/>
        <v>0</v>
      </c>
      <c r="Q91" s="204">
        <v>0</v>
      </c>
      <c r="R91" s="205">
        <f t="shared" si="32"/>
        <v>-8.4849141816398244E-3</v>
      </c>
    </row>
    <row r="92" spans="1:18" x14ac:dyDescent="0.2">
      <c r="A92" s="125">
        <v>1</v>
      </c>
      <c r="B92" s="197">
        <f t="shared" si="4"/>
        <v>44562</v>
      </c>
      <c r="C92" s="214">
        <f t="shared" ref="C92:D95" si="33">+C80</f>
        <v>44595</v>
      </c>
      <c r="D92" s="214">
        <f t="shared" si="33"/>
        <v>44615</v>
      </c>
      <c r="E92" s="198" t="s">
        <v>8</v>
      </c>
      <c r="F92" s="125">
        <v>9</v>
      </c>
      <c r="G92" s="199">
        <v>92</v>
      </c>
      <c r="H92" s="200">
        <f>+$K$3</f>
        <v>5.6216525614293303E-4</v>
      </c>
      <c r="I92" s="200">
        <f t="shared" si="22"/>
        <v>4.2858466888302956E-4</v>
      </c>
      <c r="J92" s="201">
        <f t="shared" si="2"/>
        <v>3.9429789537238719E-2</v>
      </c>
      <c r="K92" s="202">
        <f t="shared" si="13"/>
        <v>5.1719203565149842E-2</v>
      </c>
      <c r="L92" s="203">
        <f t="shared" si="26"/>
        <v>-1.2289414027911123E-2</v>
      </c>
      <c r="M92" s="204">
        <f t="shared" si="28"/>
        <v>-5.0750572144730142E-4</v>
      </c>
      <c r="N92" s="205">
        <f t="shared" si="29"/>
        <v>-1.2796919749358425E-2</v>
      </c>
      <c r="O92" s="204">
        <f t="shared" si="30"/>
        <v>0</v>
      </c>
      <c r="P92" s="204">
        <f t="shared" si="31"/>
        <v>0</v>
      </c>
      <c r="Q92" s="204">
        <v>0</v>
      </c>
      <c r="R92" s="205">
        <f t="shared" si="32"/>
        <v>-1.2796919749358425E-2</v>
      </c>
    </row>
    <row r="93" spans="1:18" x14ac:dyDescent="0.2">
      <c r="A93" s="162">
        <v>2</v>
      </c>
      <c r="B93" s="197">
        <f t="shared" si="4"/>
        <v>44593</v>
      </c>
      <c r="C93" s="217">
        <f t="shared" si="33"/>
        <v>44623</v>
      </c>
      <c r="D93" s="217">
        <f t="shared" si="33"/>
        <v>44642</v>
      </c>
      <c r="E93" s="206" t="s">
        <v>8</v>
      </c>
      <c r="F93" s="162">
        <v>9</v>
      </c>
      <c r="G93" s="199">
        <v>88</v>
      </c>
      <c r="H93" s="200">
        <f t="shared" ref="H93:H103" si="34">+$K$3</f>
        <v>5.6216525614293303E-4</v>
      </c>
      <c r="I93" s="200">
        <f t="shared" si="22"/>
        <v>4.2858466888302956E-4</v>
      </c>
      <c r="J93" s="201">
        <f t="shared" si="2"/>
        <v>3.7715450861706599E-2</v>
      </c>
      <c r="K93" s="202">
        <f t="shared" si="13"/>
        <v>4.9470542540578109E-2</v>
      </c>
      <c r="L93" s="203">
        <f t="shared" si="26"/>
        <v>-1.175509167887151E-2</v>
      </c>
      <c r="M93" s="204">
        <f t="shared" si="28"/>
        <v>-4.8544025529741874E-4</v>
      </c>
      <c r="N93" s="205">
        <f t="shared" si="29"/>
        <v>-1.2240531934168929E-2</v>
      </c>
      <c r="O93" s="204">
        <f t="shared" si="30"/>
        <v>0</v>
      </c>
      <c r="P93" s="204">
        <f t="shared" si="31"/>
        <v>0</v>
      </c>
      <c r="Q93" s="204">
        <v>0</v>
      </c>
      <c r="R93" s="205">
        <f t="shared" si="32"/>
        <v>-1.2240531934168929E-2</v>
      </c>
    </row>
    <row r="94" spans="1:18" x14ac:dyDescent="0.2">
      <c r="A94" s="162">
        <v>3</v>
      </c>
      <c r="B94" s="197">
        <f t="shared" si="4"/>
        <v>44621</v>
      </c>
      <c r="C94" s="217">
        <f t="shared" si="33"/>
        <v>44656</v>
      </c>
      <c r="D94" s="217">
        <f t="shared" si="33"/>
        <v>44676</v>
      </c>
      <c r="E94" s="206" t="s">
        <v>8</v>
      </c>
      <c r="F94" s="162">
        <v>9</v>
      </c>
      <c r="G94" s="199">
        <v>71</v>
      </c>
      <c r="H94" s="200">
        <f t="shared" si="34"/>
        <v>5.6216525614293303E-4</v>
      </c>
      <c r="I94" s="200">
        <f t="shared" si="22"/>
        <v>4.2858466888302956E-4</v>
      </c>
      <c r="J94" s="201">
        <f t="shared" si="2"/>
        <v>3.0429511490695099E-2</v>
      </c>
      <c r="K94" s="202">
        <f t="shared" ref="K94:K133" si="35">+$G94*H94</f>
        <v>3.9913733186148243E-2</v>
      </c>
      <c r="L94" s="203">
        <f>+J94-K94</f>
        <v>-9.484221695453144E-3</v>
      </c>
      <c r="M94" s="204">
        <f t="shared" si="28"/>
        <v>-3.9166202416041741E-4</v>
      </c>
      <c r="N94" s="205">
        <f t="shared" si="29"/>
        <v>-9.8758837196135617E-3</v>
      </c>
      <c r="O94" s="204">
        <f t="shared" si="30"/>
        <v>0</v>
      </c>
      <c r="P94" s="204">
        <f t="shared" si="31"/>
        <v>0</v>
      </c>
      <c r="Q94" s="204">
        <v>0</v>
      </c>
      <c r="R94" s="205">
        <f t="shared" si="32"/>
        <v>-9.8758837196135617E-3</v>
      </c>
    </row>
    <row r="95" spans="1:18" x14ac:dyDescent="0.2">
      <c r="A95" s="125">
        <v>4</v>
      </c>
      <c r="B95" s="197">
        <f t="shared" si="4"/>
        <v>44652</v>
      </c>
      <c r="C95" s="217">
        <f t="shared" si="33"/>
        <v>44685</v>
      </c>
      <c r="D95" s="217">
        <f t="shared" si="33"/>
        <v>44705</v>
      </c>
      <c r="E95" s="206" t="s">
        <v>8</v>
      </c>
      <c r="F95" s="162">
        <v>9</v>
      </c>
      <c r="G95" s="199">
        <v>76</v>
      </c>
      <c r="H95" s="200">
        <f t="shared" si="34"/>
        <v>5.6216525614293303E-4</v>
      </c>
      <c r="I95" s="200">
        <f t="shared" si="22"/>
        <v>4.2858466888302956E-4</v>
      </c>
      <c r="J95" s="201">
        <f t="shared" si="2"/>
        <v>3.2572434835110249E-2</v>
      </c>
      <c r="K95" s="202">
        <f t="shared" si="35"/>
        <v>4.2724559466862912E-2</v>
      </c>
      <c r="L95" s="203">
        <f t="shared" ref="L95:L105" si="36">+J95-K95</f>
        <v>-1.0152124631752663E-2</v>
      </c>
      <c r="M95" s="204">
        <f t="shared" si="28"/>
        <v>-4.1924385684777071E-4</v>
      </c>
      <c r="N95" s="205">
        <f t="shared" si="29"/>
        <v>-1.0571368488600434E-2</v>
      </c>
      <c r="O95" s="204">
        <f t="shared" si="30"/>
        <v>0</v>
      </c>
      <c r="P95" s="204">
        <f t="shared" si="31"/>
        <v>0</v>
      </c>
      <c r="Q95" s="204">
        <v>0</v>
      </c>
      <c r="R95" s="205">
        <f t="shared" si="32"/>
        <v>-1.0571368488600434E-2</v>
      </c>
    </row>
    <row r="96" spans="1:18" x14ac:dyDescent="0.2">
      <c r="A96" s="162">
        <v>5</v>
      </c>
      <c r="B96" s="197">
        <f t="shared" si="4"/>
        <v>44682</v>
      </c>
      <c r="C96" s="217">
        <f t="shared" ref="C96:D116" si="37">+C84</f>
        <v>44715</v>
      </c>
      <c r="D96" s="217">
        <f t="shared" si="37"/>
        <v>44735</v>
      </c>
      <c r="E96" s="54" t="s">
        <v>8</v>
      </c>
      <c r="F96" s="162">
        <v>9</v>
      </c>
      <c r="G96" s="199">
        <v>134</v>
      </c>
      <c r="H96" s="200">
        <f t="shared" si="34"/>
        <v>5.6216525614293303E-4</v>
      </c>
      <c r="I96" s="200">
        <f t="shared" si="22"/>
        <v>4.2858466888302956E-4</v>
      </c>
      <c r="J96" s="201">
        <f t="shared" si="2"/>
        <v>5.7430345630325959E-2</v>
      </c>
      <c r="K96" s="202">
        <f t="shared" si="35"/>
        <v>7.533014432315302E-2</v>
      </c>
      <c r="L96" s="203">
        <f t="shared" si="36"/>
        <v>-1.7899798692827061E-2</v>
      </c>
      <c r="M96" s="204">
        <f t="shared" si="28"/>
        <v>-7.3919311602106946E-4</v>
      </c>
      <c r="N96" s="205">
        <f t="shared" si="29"/>
        <v>-1.8638991808848131E-2</v>
      </c>
      <c r="O96" s="204">
        <f t="shared" si="30"/>
        <v>0</v>
      </c>
      <c r="P96" s="204">
        <f t="shared" si="31"/>
        <v>0</v>
      </c>
      <c r="Q96" s="204">
        <v>0</v>
      </c>
      <c r="R96" s="205">
        <f t="shared" si="32"/>
        <v>-1.8638991808848131E-2</v>
      </c>
    </row>
    <row r="97" spans="1:18" x14ac:dyDescent="0.2">
      <c r="A97" s="162">
        <v>6</v>
      </c>
      <c r="B97" s="197">
        <f t="shared" si="4"/>
        <v>44713</v>
      </c>
      <c r="C97" s="217">
        <f t="shared" si="37"/>
        <v>44747</v>
      </c>
      <c r="D97" s="217">
        <f t="shared" si="37"/>
        <v>44767</v>
      </c>
      <c r="E97" s="54" t="s">
        <v>8</v>
      </c>
      <c r="F97" s="162">
        <v>9</v>
      </c>
      <c r="G97" s="199">
        <v>145</v>
      </c>
      <c r="H97" s="200">
        <f t="shared" si="34"/>
        <v>5.6216525614293303E-4</v>
      </c>
      <c r="I97" s="200">
        <f t="shared" si="22"/>
        <v>4.2858466888302956E-4</v>
      </c>
      <c r="J97" s="201">
        <f t="shared" si="2"/>
        <v>6.2144776988039288E-2</v>
      </c>
      <c r="K97" s="202">
        <f t="shared" si="35"/>
        <v>8.1513962140725288E-2</v>
      </c>
      <c r="L97" s="207">
        <f t="shared" si="36"/>
        <v>-1.9369185152686E-2</v>
      </c>
      <c r="M97" s="204">
        <f t="shared" si="28"/>
        <v>-7.9987314793324681E-4</v>
      </c>
      <c r="N97" s="205">
        <f t="shared" si="29"/>
        <v>-2.0169058300619248E-2</v>
      </c>
      <c r="O97" s="204">
        <f t="shared" si="30"/>
        <v>0</v>
      </c>
      <c r="P97" s="204">
        <f t="shared" si="31"/>
        <v>0</v>
      </c>
      <c r="Q97" s="204">
        <v>0</v>
      </c>
      <c r="R97" s="205">
        <f t="shared" si="32"/>
        <v>-2.0169058300619248E-2</v>
      </c>
    </row>
    <row r="98" spans="1:18" x14ac:dyDescent="0.2">
      <c r="A98" s="125">
        <v>7</v>
      </c>
      <c r="B98" s="197">
        <f t="shared" si="4"/>
        <v>44743</v>
      </c>
      <c r="C98" s="217">
        <f t="shared" si="37"/>
        <v>44776</v>
      </c>
      <c r="D98" s="217">
        <f t="shared" si="37"/>
        <v>44796</v>
      </c>
      <c r="E98" s="54" t="s">
        <v>8</v>
      </c>
      <c r="F98" s="162">
        <v>9</v>
      </c>
      <c r="G98" s="199">
        <v>161</v>
      </c>
      <c r="H98" s="200">
        <f t="shared" si="34"/>
        <v>5.6216525614293303E-4</v>
      </c>
      <c r="I98" s="200">
        <f t="shared" si="22"/>
        <v>4.2858466888302956E-4</v>
      </c>
      <c r="J98" s="201">
        <f t="shared" si="2"/>
        <v>6.9002131690167764E-2</v>
      </c>
      <c r="K98" s="208">
        <f t="shared" si="35"/>
        <v>9.0508606239012218E-2</v>
      </c>
      <c r="L98" s="207">
        <f t="shared" si="36"/>
        <v>-2.1506474548844454E-2</v>
      </c>
      <c r="M98" s="204">
        <f t="shared" si="28"/>
        <v>-8.8813501253277741E-4</v>
      </c>
      <c r="N98" s="205">
        <f t="shared" si="29"/>
        <v>-2.2394609561377232E-2</v>
      </c>
      <c r="O98" s="204">
        <f t="shared" si="30"/>
        <v>0</v>
      </c>
      <c r="P98" s="204">
        <f t="shared" si="31"/>
        <v>0</v>
      </c>
      <c r="Q98" s="204">
        <v>0</v>
      </c>
      <c r="R98" s="205">
        <f t="shared" si="32"/>
        <v>-2.2394609561377232E-2</v>
      </c>
    </row>
    <row r="99" spans="1:18" x14ac:dyDescent="0.2">
      <c r="A99" s="162">
        <v>8</v>
      </c>
      <c r="B99" s="197">
        <f t="shared" si="4"/>
        <v>44774</v>
      </c>
      <c r="C99" s="217">
        <f t="shared" si="37"/>
        <v>44809</v>
      </c>
      <c r="D99" s="217">
        <f t="shared" si="37"/>
        <v>44827</v>
      </c>
      <c r="E99" s="54" t="s">
        <v>8</v>
      </c>
      <c r="F99" s="162">
        <v>9</v>
      </c>
      <c r="G99" s="199">
        <v>154</v>
      </c>
      <c r="H99" s="200">
        <f t="shared" si="34"/>
        <v>5.6216525614293303E-4</v>
      </c>
      <c r="I99" s="200">
        <f t="shared" si="22"/>
        <v>4.2858466888302956E-4</v>
      </c>
      <c r="J99" s="201">
        <f t="shared" si="2"/>
        <v>6.6002039007986554E-2</v>
      </c>
      <c r="K99" s="208">
        <f t="shared" si="35"/>
        <v>8.6573449446011683E-2</v>
      </c>
      <c r="L99" s="207">
        <f t="shared" si="36"/>
        <v>-2.0571410438025128E-2</v>
      </c>
      <c r="M99" s="204">
        <f t="shared" si="28"/>
        <v>-8.4952044677048279E-4</v>
      </c>
      <c r="N99" s="205">
        <f t="shared" si="29"/>
        <v>-2.142093088479561E-2</v>
      </c>
      <c r="O99" s="204">
        <f t="shared" si="30"/>
        <v>0</v>
      </c>
      <c r="P99" s="204">
        <f t="shared" si="31"/>
        <v>0</v>
      </c>
      <c r="Q99" s="204">
        <v>0</v>
      </c>
      <c r="R99" s="205">
        <f t="shared" si="32"/>
        <v>-2.142093088479561E-2</v>
      </c>
    </row>
    <row r="100" spans="1:18" x14ac:dyDescent="0.2">
      <c r="A100" s="162">
        <v>9</v>
      </c>
      <c r="B100" s="197">
        <f t="shared" si="4"/>
        <v>44805</v>
      </c>
      <c r="C100" s="217">
        <f t="shared" si="37"/>
        <v>44839</v>
      </c>
      <c r="D100" s="217">
        <f t="shared" si="37"/>
        <v>44859</v>
      </c>
      <c r="E100" s="54" t="s">
        <v>8</v>
      </c>
      <c r="F100" s="162">
        <v>9</v>
      </c>
      <c r="G100" s="199">
        <v>132</v>
      </c>
      <c r="H100" s="200">
        <f t="shared" si="34"/>
        <v>5.6216525614293303E-4</v>
      </c>
      <c r="I100" s="200">
        <f t="shared" si="22"/>
        <v>4.2858466888302956E-4</v>
      </c>
      <c r="J100" s="201">
        <f t="shared" si="2"/>
        <v>5.6573176292559903E-2</v>
      </c>
      <c r="K100" s="208">
        <f t="shared" si="35"/>
        <v>7.4205813810867161E-2</v>
      </c>
      <c r="L100" s="207">
        <f t="shared" si="36"/>
        <v>-1.7632637518307258E-2</v>
      </c>
      <c r="M100" s="204">
        <f t="shared" si="28"/>
        <v>-7.2816038294612809E-4</v>
      </c>
      <c r="N100" s="205">
        <f t="shared" si="29"/>
        <v>-1.8360797901253386E-2</v>
      </c>
      <c r="O100" s="204">
        <f t="shared" si="30"/>
        <v>0</v>
      </c>
      <c r="P100" s="204">
        <f t="shared" si="31"/>
        <v>0</v>
      </c>
      <c r="Q100" s="204">
        <v>0</v>
      </c>
      <c r="R100" s="205">
        <f t="shared" si="32"/>
        <v>-1.8360797901253386E-2</v>
      </c>
    </row>
    <row r="101" spans="1:18" x14ac:dyDescent="0.2">
      <c r="A101" s="125">
        <v>10</v>
      </c>
      <c r="B101" s="197">
        <f t="shared" si="4"/>
        <v>44835</v>
      </c>
      <c r="C101" s="217">
        <f t="shared" si="37"/>
        <v>44868</v>
      </c>
      <c r="D101" s="217">
        <f t="shared" si="37"/>
        <v>44888</v>
      </c>
      <c r="E101" s="54" t="s">
        <v>8</v>
      </c>
      <c r="F101" s="162">
        <v>9</v>
      </c>
      <c r="G101" s="199">
        <v>91</v>
      </c>
      <c r="H101" s="200">
        <f t="shared" si="34"/>
        <v>5.6216525614293303E-4</v>
      </c>
      <c r="I101" s="200">
        <f t="shared" si="22"/>
        <v>4.2858466888302956E-4</v>
      </c>
      <c r="J101" s="201">
        <f t="shared" si="2"/>
        <v>3.9001204868355691E-2</v>
      </c>
      <c r="K101" s="208">
        <f t="shared" si="35"/>
        <v>5.1157038309006905E-2</v>
      </c>
      <c r="L101" s="207">
        <f t="shared" si="36"/>
        <v>-1.2155833440651215E-2</v>
      </c>
      <c r="M101" s="204">
        <f t="shared" si="28"/>
        <v>-5.0198935490983069E-4</v>
      </c>
      <c r="N101" s="205">
        <f t="shared" si="29"/>
        <v>-1.2657822795561045E-2</v>
      </c>
      <c r="O101" s="204">
        <f t="shared" si="30"/>
        <v>0</v>
      </c>
      <c r="P101" s="204">
        <f t="shared" si="31"/>
        <v>0</v>
      </c>
      <c r="Q101" s="204">
        <v>0</v>
      </c>
      <c r="R101" s="205">
        <f t="shared" si="32"/>
        <v>-1.2657822795561045E-2</v>
      </c>
    </row>
    <row r="102" spans="1:18" x14ac:dyDescent="0.2">
      <c r="A102" s="162">
        <v>11</v>
      </c>
      <c r="B102" s="197">
        <f t="shared" si="4"/>
        <v>44866</v>
      </c>
      <c r="C102" s="217">
        <f t="shared" si="37"/>
        <v>44900</v>
      </c>
      <c r="D102" s="217">
        <f t="shared" si="37"/>
        <v>44918</v>
      </c>
      <c r="E102" s="54" t="s">
        <v>8</v>
      </c>
      <c r="F102" s="162">
        <v>9</v>
      </c>
      <c r="G102" s="199">
        <v>67</v>
      </c>
      <c r="H102" s="200">
        <f t="shared" si="34"/>
        <v>5.6216525614293303E-4</v>
      </c>
      <c r="I102" s="200">
        <f t="shared" si="22"/>
        <v>4.2858466888302956E-4</v>
      </c>
      <c r="J102" s="201">
        <f t="shared" si="2"/>
        <v>2.8715172815162979E-2</v>
      </c>
      <c r="K102" s="208">
        <f t="shared" si="35"/>
        <v>3.766507216157651E-2</v>
      </c>
      <c r="L102" s="207">
        <f t="shared" si="36"/>
        <v>-8.9498993464135305E-3</v>
      </c>
      <c r="M102" s="204">
        <f t="shared" si="28"/>
        <v>-3.6959655801053473E-4</v>
      </c>
      <c r="N102" s="205">
        <f t="shared" si="29"/>
        <v>-9.3194959044240657E-3</v>
      </c>
      <c r="O102" s="204">
        <f t="shared" si="30"/>
        <v>0</v>
      </c>
      <c r="P102" s="204">
        <f t="shared" si="31"/>
        <v>0</v>
      </c>
      <c r="Q102" s="204">
        <v>0</v>
      </c>
      <c r="R102" s="205">
        <f t="shared" si="32"/>
        <v>-9.3194959044240657E-3</v>
      </c>
    </row>
    <row r="103" spans="1:18" s="221" customFormat="1" x14ac:dyDescent="0.2">
      <c r="A103" s="162">
        <v>12</v>
      </c>
      <c r="B103" s="219">
        <f t="shared" si="4"/>
        <v>44896</v>
      </c>
      <c r="C103" s="217">
        <f t="shared" si="37"/>
        <v>44930</v>
      </c>
      <c r="D103" s="217">
        <f t="shared" si="37"/>
        <v>44950</v>
      </c>
      <c r="E103" s="220" t="s">
        <v>8</v>
      </c>
      <c r="F103" s="173">
        <v>9</v>
      </c>
      <c r="G103" s="199">
        <v>96</v>
      </c>
      <c r="H103" s="209">
        <f t="shared" si="34"/>
        <v>5.6216525614293303E-4</v>
      </c>
      <c r="I103" s="209">
        <f t="shared" si="22"/>
        <v>4.2858466888302956E-4</v>
      </c>
      <c r="J103" s="210">
        <f t="shared" si="2"/>
        <v>4.1144128212770838E-2</v>
      </c>
      <c r="K103" s="211">
        <f t="shared" si="35"/>
        <v>5.3967864589721568E-2</v>
      </c>
      <c r="L103" s="212">
        <f t="shared" si="36"/>
        <v>-1.282373637695073E-2</v>
      </c>
      <c r="M103" s="204">
        <f t="shared" si="28"/>
        <v>-5.2957118759718405E-4</v>
      </c>
      <c r="N103" s="205">
        <f t="shared" si="29"/>
        <v>-1.3353307564547914E-2</v>
      </c>
      <c r="O103" s="204">
        <f t="shared" si="30"/>
        <v>0</v>
      </c>
      <c r="P103" s="204">
        <f t="shared" si="31"/>
        <v>0</v>
      </c>
      <c r="Q103" s="204">
        <v>0</v>
      </c>
      <c r="R103" s="205">
        <f t="shared" si="32"/>
        <v>-1.3353307564547914E-2</v>
      </c>
    </row>
    <row r="104" spans="1:18" x14ac:dyDescent="0.2">
      <c r="A104" s="125">
        <v>1</v>
      </c>
      <c r="B104" s="197">
        <f t="shared" si="4"/>
        <v>44562</v>
      </c>
      <c r="C104" s="214">
        <f t="shared" si="37"/>
        <v>44595</v>
      </c>
      <c r="D104" s="214">
        <f t="shared" si="37"/>
        <v>44615</v>
      </c>
      <c r="E104" s="198" t="s">
        <v>19</v>
      </c>
      <c r="F104" s="125">
        <v>9</v>
      </c>
      <c r="G104" s="199">
        <v>42</v>
      </c>
      <c r="H104" s="200">
        <f>+$K$3</f>
        <v>5.6216525614293303E-4</v>
      </c>
      <c r="I104" s="200">
        <f t="shared" si="22"/>
        <v>4.2858466888302956E-4</v>
      </c>
      <c r="J104" s="201">
        <f t="shared" si="2"/>
        <v>1.800055609308724E-2</v>
      </c>
      <c r="K104" s="202">
        <f t="shared" si="35"/>
        <v>2.3610940758003188E-2</v>
      </c>
      <c r="L104" s="203">
        <f t="shared" si="36"/>
        <v>-5.6103846649159482E-3</v>
      </c>
      <c r="M104" s="204">
        <f t="shared" si="28"/>
        <v>-2.3168739457376803E-4</v>
      </c>
      <c r="N104" s="205">
        <f t="shared" si="29"/>
        <v>-5.8420720594897163E-3</v>
      </c>
      <c r="O104" s="204">
        <f t="shared" si="30"/>
        <v>0</v>
      </c>
      <c r="P104" s="204">
        <f t="shared" si="31"/>
        <v>0</v>
      </c>
      <c r="Q104" s="204">
        <v>0</v>
      </c>
      <c r="R104" s="205">
        <f t="shared" si="32"/>
        <v>-5.8420720594897163E-3</v>
      </c>
    </row>
    <row r="105" spans="1:18" x14ac:dyDescent="0.2">
      <c r="A105" s="162">
        <v>2</v>
      </c>
      <c r="B105" s="197">
        <f t="shared" si="4"/>
        <v>44593</v>
      </c>
      <c r="C105" s="217">
        <f t="shared" si="37"/>
        <v>44623</v>
      </c>
      <c r="D105" s="217">
        <f t="shared" si="37"/>
        <v>44642</v>
      </c>
      <c r="E105" s="206" t="s">
        <v>19</v>
      </c>
      <c r="F105" s="162">
        <v>9</v>
      </c>
      <c r="G105" s="199">
        <v>43</v>
      </c>
      <c r="H105" s="200">
        <f t="shared" ref="H105:H115" si="38">+$K$3</f>
        <v>5.6216525614293303E-4</v>
      </c>
      <c r="I105" s="200">
        <f t="shared" si="22"/>
        <v>4.2858466888302956E-4</v>
      </c>
      <c r="J105" s="201">
        <f t="shared" si="2"/>
        <v>1.8429140761970272E-2</v>
      </c>
      <c r="K105" s="202">
        <f t="shared" si="35"/>
        <v>2.4173106014146122E-2</v>
      </c>
      <c r="L105" s="203">
        <f t="shared" si="36"/>
        <v>-5.7439652521758498E-3</v>
      </c>
      <c r="M105" s="204">
        <f t="shared" si="28"/>
        <v>-2.3720376111123872E-4</v>
      </c>
      <c r="N105" s="205">
        <f t="shared" si="29"/>
        <v>-5.9811690132870882E-3</v>
      </c>
      <c r="O105" s="204">
        <f t="shared" si="30"/>
        <v>0</v>
      </c>
      <c r="P105" s="204">
        <f t="shared" si="31"/>
        <v>0</v>
      </c>
      <c r="Q105" s="204">
        <v>0</v>
      </c>
      <c r="R105" s="205">
        <f t="shared" si="32"/>
        <v>-5.9811690132870882E-3</v>
      </c>
    </row>
    <row r="106" spans="1:18" x14ac:dyDescent="0.2">
      <c r="A106" s="162">
        <v>3</v>
      </c>
      <c r="B106" s="197">
        <f t="shared" si="4"/>
        <v>44621</v>
      </c>
      <c r="C106" s="217">
        <f t="shared" si="37"/>
        <v>44656</v>
      </c>
      <c r="D106" s="217">
        <f t="shared" si="37"/>
        <v>44676</v>
      </c>
      <c r="E106" s="206" t="s">
        <v>19</v>
      </c>
      <c r="F106" s="162">
        <v>9</v>
      </c>
      <c r="G106" s="199">
        <v>42</v>
      </c>
      <c r="H106" s="200">
        <f t="shared" si="38"/>
        <v>5.6216525614293303E-4</v>
      </c>
      <c r="I106" s="200">
        <f t="shared" si="22"/>
        <v>4.2858466888302956E-4</v>
      </c>
      <c r="J106" s="201">
        <f t="shared" si="2"/>
        <v>1.800055609308724E-2</v>
      </c>
      <c r="K106" s="202">
        <f t="shared" si="35"/>
        <v>2.3610940758003188E-2</v>
      </c>
      <c r="L106" s="203">
        <f>+J106-K106</f>
        <v>-5.6103846649159482E-3</v>
      </c>
      <c r="M106" s="204">
        <f t="shared" si="28"/>
        <v>-2.3168739457376803E-4</v>
      </c>
      <c r="N106" s="205">
        <f t="shared" si="29"/>
        <v>-5.8420720594897163E-3</v>
      </c>
      <c r="O106" s="204">
        <f t="shared" si="30"/>
        <v>0</v>
      </c>
      <c r="P106" s="204">
        <f t="shared" si="31"/>
        <v>0</v>
      </c>
      <c r="Q106" s="204">
        <v>0</v>
      </c>
      <c r="R106" s="205">
        <f t="shared" si="32"/>
        <v>-5.8420720594897163E-3</v>
      </c>
    </row>
    <row r="107" spans="1:18" x14ac:dyDescent="0.2">
      <c r="A107" s="125">
        <v>4</v>
      </c>
      <c r="B107" s="197">
        <f t="shared" si="4"/>
        <v>44652</v>
      </c>
      <c r="C107" s="217">
        <f t="shared" si="37"/>
        <v>44685</v>
      </c>
      <c r="D107" s="217">
        <f t="shared" si="37"/>
        <v>44705</v>
      </c>
      <c r="E107" s="54" t="s">
        <v>19</v>
      </c>
      <c r="F107" s="162">
        <v>9</v>
      </c>
      <c r="G107" s="199">
        <v>52</v>
      </c>
      <c r="H107" s="200">
        <f t="shared" si="38"/>
        <v>5.6216525614293303E-4</v>
      </c>
      <c r="I107" s="200">
        <f t="shared" si="22"/>
        <v>4.2858466888302956E-4</v>
      </c>
      <c r="J107" s="201">
        <f t="shared" si="2"/>
        <v>2.2286402781917538E-2</v>
      </c>
      <c r="K107" s="202">
        <f t="shared" si="35"/>
        <v>2.9232593319432516E-2</v>
      </c>
      <c r="L107" s="203">
        <f t="shared" ref="L107:L115" si="39">+J107-K107</f>
        <v>-6.9461905375149784E-3</v>
      </c>
      <c r="M107" s="204">
        <f t="shared" si="28"/>
        <v>-2.868510599484747E-4</v>
      </c>
      <c r="N107" s="205">
        <f t="shared" si="29"/>
        <v>-7.2330415974634528E-3</v>
      </c>
      <c r="O107" s="204">
        <f t="shared" si="30"/>
        <v>0</v>
      </c>
      <c r="P107" s="204">
        <f t="shared" si="31"/>
        <v>0</v>
      </c>
      <c r="Q107" s="204">
        <v>0</v>
      </c>
      <c r="R107" s="205">
        <f t="shared" si="32"/>
        <v>-7.2330415974634528E-3</v>
      </c>
    </row>
    <row r="108" spans="1:18" x14ac:dyDescent="0.2">
      <c r="A108" s="162">
        <v>5</v>
      </c>
      <c r="B108" s="197">
        <f t="shared" si="4"/>
        <v>44682</v>
      </c>
      <c r="C108" s="217">
        <f t="shared" si="37"/>
        <v>44715</v>
      </c>
      <c r="D108" s="217">
        <f t="shared" si="37"/>
        <v>44735</v>
      </c>
      <c r="E108" s="54" t="s">
        <v>19</v>
      </c>
      <c r="F108" s="162">
        <v>9</v>
      </c>
      <c r="G108" s="199">
        <v>52</v>
      </c>
      <c r="H108" s="200">
        <f t="shared" si="38"/>
        <v>5.6216525614293303E-4</v>
      </c>
      <c r="I108" s="200">
        <f t="shared" ref="I108:I127" si="40">$J$3</f>
        <v>4.2858466888302956E-4</v>
      </c>
      <c r="J108" s="201">
        <f t="shared" si="2"/>
        <v>2.2286402781917538E-2</v>
      </c>
      <c r="K108" s="202">
        <f t="shared" si="35"/>
        <v>2.9232593319432516E-2</v>
      </c>
      <c r="L108" s="203">
        <f t="shared" si="39"/>
        <v>-6.9461905375149784E-3</v>
      </c>
      <c r="M108" s="204">
        <f t="shared" si="28"/>
        <v>-2.868510599484747E-4</v>
      </c>
      <c r="N108" s="205">
        <f t="shared" si="29"/>
        <v>-7.2330415974634528E-3</v>
      </c>
      <c r="O108" s="204">
        <f t="shared" si="30"/>
        <v>0</v>
      </c>
      <c r="P108" s="204">
        <f t="shared" si="31"/>
        <v>0</v>
      </c>
      <c r="Q108" s="204">
        <v>0</v>
      </c>
      <c r="R108" s="205">
        <f t="shared" si="32"/>
        <v>-7.2330415974634528E-3</v>
      </c>
    </row>
    <row r="109" spans="1:18" x14ac:dyDescent="0.2">
      <c r="A109" s="162">
        <v>6</v>
      </c>
      <c r="B109" s="197">
        <f t="shared" ref="B109:B148" si="41">DATE($R$1,A109,1)</f>
        <v>44713</v>
      </c>
      <c r="C109" s="217">
        <f t="shared" si="37"/>
        <v>44747</v>
      </c>
      <c r="D109" s="217">
        <f t="shared" si="37"/>
        <v>44767</v>
      </c>
      <c r="E109" s="54" t="s">
        <v>19</v>
      </c>
      <c r="F109" s="162">
        <v>9</v>
      </c>
      <c r="G109" s="199">
        <v>56</v>
      </c>
      <c r="H109" s="200">
        <f t="shared" si="38"/>
        <v>5.6216525614293303E-4</v>
      </c>
      <c r="I109" s="200">
        <f t="shared" si="40"/>
        <v>4.2858466888302956E-4</v>
      </c>
      <c r="J109" s="201">
        <f t="shared" ref="J109:J148" si="42">+$G109*I109</f>
        <v>2.4000741457449654E-2</v>
      </c>
      <c r="K109" s="202">
        <f t="shared" si="35"/>
        <v>3.1481254344004249E-2</v>
      </c>
      <c r="L109" s="207">
        <f t="shared" si="39"/>
        <v>-7.4805128865545953E-3</v>
      </c>
      <c r="M109" s="204">
        <f t="shared" si="28"/>
        <v>-3.0891652609835738E-4</v>
      </c>
      <c r="N109" s="205">
        <f t="shared" si="29"/>
        <v>-7.7894294126529522E-3</v>
      </c>
      <c r="O109" s="204">
        <f t="shared" si="30"/>
        <v>0</v>
      </c>
      <c r="P109" s="204">
        <f t="shared" si="31"/>
        <v>0</v>
      </c>
      <c r="Q109" s="204">
        <v>0</v>
      </c>
      <c r="R109" s="205">
        <f t="shared" si="32"/>
        <v>-7.7894294126529522E-3</v>
      </c>
    </row>
    <row r="110" spans="1:18" x14ac:dyDescent="0.2">
      <c r="A110" s="125">
        <v>7</v>
      </c>
      <c r="B110" s="197">
        <f t="shared" si="41"/>
        <v>44743</v>
      </c>
      <c r="C110" s="217">
        <f t="shared" si="37"/>
        <v>44776</v>
      </c>
      <c r="D110" s="217">
        <f t="shared" si="37"/>
        <v>44796</v>
      </c>
      <c r="E110" s="54" t="s">
        <v>19</v>
      </c>
      <c r="F110" s="162">
        <v>9</v>
      </c>
      <c r="G110" s="199">
        <v>58</v>
      </c>
      <c r="H110" s="200">
        <f t="shared" si="38"/>
        <v>5.6216525614293303E-4</v>
      </c>
      <c r="I110" s="200">
        <f t="shared" si="40"/>
        <v>4.2858466888302956E-4</v>
      </c>
      <c r="J110" s="201">
        <f t="shared" si="42"/>
        <v>2.4857910795215713E-2</v>
      </c>
      <c r="K110" s="208">
        <f t="shared" si="35"/>
        <v>3.2605584856290115E-2</v>
      </c>
      <c r="L110" s="207">
        <f t="shared" si="39"/>
        <v>-7.747674061074402E-3</v>
      </c>
      <c r="M110" s="204">
        <f t="shared" si="28"/>
        <v>-3.1994925917329874E-4</v>
      </c>
      <c r="N110" s="205">
        <f t="shared" si="29"/>
        <v>-8.0676233202477011E-3</v>
      </c>
      <c r="O110" s="204">
        <f t="shared" si="30"/>
        <v>0</v>
      </c>
      <c r="P110" s="204">
        <f t="shared" si="31"/>
        <v>0</v>
      </c>
      <c r="Q110" s="204">
        <v>0</v>
      </c>
      <c r="R110" s="205">
        <f t="shared" si="32"/>
        <v>-8.0676233202477011E-3</v>
      </c>
    </row>
    <row r="111" spans="1:18" x14ac:dyDescent="0.2">
      <c r="A111" s="162">
        <v>8</v>
      </c>
      <c r="B111" s="197">
        <f t="shared" si="41"/>
        <v>44774</v>
      </c>
      <c r="C111" s="217">
        <f t="shared" si="37"/>
        <v>44809</v>
      </c>
      <c r="D111" s="217">
        <f t="shared" si="37"/>
        <v>44827</v>
      </c>
      <c r="E111" s="54" t="s">
        <v>19</v>
      </c>
      <c r="F111" s="162">
        <v>9</v>
      </c>
      <c r="G111" s="199">
        <v>60</v>
      </c>
      <c r="H111" s="200">
        <f t="shared" si="38"/>
        <v>5.6216525614293303E-4</v>
      </c>
      <c r="I111" s="200">
        <f t="shared" si="40"/>
        <v>4.2858466888302956E-4</v>
      </c>
      <c r="J111" s="201">
        <f t="shared" si="42"/>
        <v>2.5715080132981773E-2</v>
      </c>
      <c r="K111" s="208">
        <f t="shared" si="35"/>
        <v>3.3729915368575981E-2</v>
      </c>
      <c r="L111" s="207">
        <f t="shared" si="39"/>
        <v>-8.0148352355942087E-3</v>
      </c>
      <c r="M111" s="204">
        <f t="shared" si="28"/>
        <v>-3.3098199224824E-4</v>
      </c>
      <c r="N111" s="205">
        <f t="shared" si="29"/>
        <v>-8.3458172278424482E-3</v>
      </c>
      <c r="O111" s="204">
        <f t="shared" si="30"/>
        <v>0</v>
      </c>
      <c r="P111" s="204">
        <f t="shared" si="31"/>
        <v>0</v>
      </c>
      <c r="Q111" s="204">
        <v>0</v>
      </c>
      <c r="R111" s="205">
        <f t="shared" si="32"/>
        <v>-8.3458172278424482E-3</v>
      </c>
    </row>
    <row r="112" spans="1:18" x14ac:dyDescent="0.2">
      <c r="A112" s="162">
        <v>9</v>
      </c>
      <c r="B112" s="197">
        <f t="shared" si="41"/>
        <v>44805</v>
      </c>
      <c r="C112" s="217">
        <f t="shared" si="37"/>
        <v>44839</v>
      </c>
      <c r="D112" s="217">
        <f t="shared" si="37"/>
        <v>44859</v>
      </c>
      <c r="E112" s="54" t="s">
        <v>19</v>
      </c>
      <c r="F112" s="162">
        <v>9</v>
      </c>
      <c r="G112" s="199">
        <v>58</v>
      </c>
      <c r="H112" s="200">
        <f t="shared" si="38"/>
        <v>5.6216525614293303E-4</v>
      </c>
      <c r="I112" s="200">
        <f t="shared" si="40"/>
        <v>4.2858466888302956E-4</v>
      </c>
      <c r="J112" s="201">
        <f t="shared" si="42"/>
        <v>2.4857910795215713E-2</v>
      </c>
      <c r="K112" s="208">
        <f t="shared" si="35"/>
        <v>3.2605584856290115E-2</v>
      </c>
      <c r="L112" s="207">
        <f t="shared" si="39"/>
        <v>-7.747674061074402E-3</v>
      </c>
      <c r="M112" s="204">
        <f t="shared" si="28"/>
        <v>-3.1994925917329874E-4</v>
      </c>
      <c r="N112" s="205">
        <f t="shared" si="29"/>
        <v>-8.0676233202477011E-3</v>
      </c>
      <c r="O112" s="204">
        <f t="shared" si="30"/>
        <v>0</v>
      </c>
      <c r="P112" s="204">
        <f t="shared" si="31"/>
        <v>0</v>
      </c>
      <c r="Q112" s="204">
        <v>0</v>
      </c>
      <c r="R112" s="205">
        <f t="shared" si="32"/>
        <v>-8.0676233202477011E-3</v>
      </c>
    </row>
    <row r="113" spans="1:18" x14ac:dyDescent="0.2">
      <c r="A113" s="125">
        <v>10</v>
      </c>
      <c r="B113" s="197">
        <f t="shared" si="41"/>
        <v>44835</v>
      </c>
      <c r="C113" s="217">
        <f t="shared" si="37"/>
        <v>44868</v>
      </c>
      <c r="D113" s="217">
        <f t="shared" si="37"/>
        <v>44888</v>
      </c>
      <c r="E113" s="54" t="s">
        <v>19</v>
      </c>
      <c r="F113" s="162">
        <v>9</v>
      </c>
      <c r="G113" s="199">
        <v>56</v>
      </c>
      <c r="H113" s="200">
        <f t="shared" si="38"/>
        <v>5.6216525614293303E-4</v>
      </c>
      <c r="I113" s="200">
        <f t="shared" si="40"/>
        <v>4.2858466888302956E-4</v>
      </c>
      <c r="J113" s="201">
        <f t="shared" si="42"/>
        <v>2.4000741457449654E-2</v>
      </c>
      <c r="K113" s="208">
        <f t="shared" si="35"/>
        <v>3.1481254344004249E-2</v>
      </c>
      <c r="L113" s="207">
        <f t="shared" si="39"/>
        <v>-7.4805128865545953E-3</v>
      </c>
      <c r="M113" s="204">
        <f t="shared" si="28"/>
        <v>-3.0891652609835738E-4</v>
      </c>
      <c r="N113" s="205">
        <f t="shared" si="29"/>
        <v>-7.7894294126529522E-3</v>
      </c>
      <c r="O113" s="204">
        <f t="shared" si="30"/>
        <v>0</v>
      </c>
      <c r="P113" s="204">
        <f t="shared" si="31"/>
        <v>0</v>
      </c>
      <c r="Q113" s="204">
        <v>0</v>
      </c>
      <c r="R113" s="205">
        <f t="shared" si="32"/>
        <v>-7.7894294126529522E-3</v>
      </c>
    </row>
    <row r="114" spans="1:18" x14ac:dyDescent="0.2">
      <c r="A114" s="162">
        <v>11</v>
      </c>
      <c r="B114" s="197">
        <f t="shared" si="41"/>
        <v>44866</v>
      </c>
      <c r="C114" s="217">
        <f t="shared" si="37"/>
        <v>44900</v>
      </c>
      <c r="D114" s="217">
        <f t="shared" si="37"/>
        <v>44918</v>
      </c>
      <c r="E114" s="54" t="s">
        <v>19</v>
      </c>
      <c r="F114" s="162">
        <v>9</v>
      </c>
      <c r="G114" s="199">
        <v>59</v>
      </c>
      <c r="H114" s="200">
        <f t="shared" si="38"/>
        <v>5.6216525614293303E-4</v>
      </c>
      <c r="I114" s="200">
        <f t="shared" si="40"/>
        <v>4.2858466888302956E-4</v>
      </c>
      <c r="J114" s="201">
        <f t="shared" si="42"/>
        <v>2.5286495464098745E-2</v>
      </c>
      <c r="K114" s="208">
        <f t="shared" si="35"/>
        <v>3.3167750112433052E-2</v>
      </c>
      <c r="L114" s="207">
        <f t="shared" si="39"/>
        <v>-7.8812546483343071E-3</v>
      </c>
      <c r="M114" s="204">
        <f t="shared" si="28"/>
        <v>-3.2546562571076943E-4</v>
      </c>
      <c r="N114" s="205">
        <f t="shared" si="29"/>
        <v>-8.2067202740450772E-3</v>
      </c>
      <c r="O114" s="204">
        <f t="shared" si="30"/>
        <v>0</v>
      </c>
      <c r="P114" s="204">
        <f t="shared" si="31"/>
        <v>0</v>
      </c>
      <c r="Q114" s="204">
        <v>0</v>
      </c>
      <c r="R114" s="205">
        <f t="shared" si="32"/>
        <v>-8.2067202740450772E-3</v>
      </c>
    </row>
    <row r="115" spans="1:18" s="221" customFormat="1" x14ac:dyDescent="0.2">
      <c r="A115" s="162">
        <v>12</v>
      </c>
      <c r="B115" s="219">
        <f t="shared" si="41"/>
        <v>44896</v>
      </c>
      <c r="C115" s="222">
        <f t="shared" si="37"/>
        <v>44930</v>
      </c>
      <c r="D115" s="222">
        <f t="shared" si="37"/>
        <v>44950</v>
      </c>
      <c r="E115" s="220" t="s">
        <v>19</v>
      </c>
      <c r="F115" s="173">
        <v>9</v>
      </c>
      <c r="G115" s="199">
        <v>58</v>
      </c>
      <c r="H115" s="209">
        <f t="shared" si="38"/>
        <v>5.6216525614293303E-4</v>
      </c>
      <c r="I115" s="209">
        <f t="shared" si="40"/>
        <v>4.2858466888302956E-4</v>
      </c>
      <c r="J115" s="210">
        <f t="shared" si="42"/>
        <v>2.4857910795215713E-2</v>
      </c>
      <c r="K115" s="211">
        <f t="shared" si="35"/>
        <v>3.2605584856290115E-2</v>
      </c>
      <c r="L115" s="212">
        <f t="shared" si="39"/>
        <v>-7.747674061074402E-3</v>
      </c>
      <c r="M115" s="204">
        <f t="shared" si="28"/>
        <v>-3.1994925917329874E-4</v>
      </c>
      <c r="N115" s="205">
        <f t="shared" si="29"/>
        <v>-8.0676233202477011E-3</v>
      </c>
      <c r="O115" s="204">
        <f t="shared" si="30"/>
        <v>0</v>
      </c>
      <c r="P115" s="204">
        <f t="shared" si="31"/>
        <v>0</v>
      </c>
      <c r="Q115" s="204">
        <v>0</v>
      </c>
      <c r="R115" s="205">
        <f t="shared" si="32"/>
        <v>-8.0676233202477011E-3</v>
      </c>
    </row>
    <row r="116" spans="1:18" x14ac:dyDescent="0.2">
      <c r="A116" s="125">
        <v>1</v>
      </c>
      <c r="B116" s="197">
        <f t="shared" si="41"/>
        <v>44562</v>
      </c>
      <c r="C116" s="217">
        <f t="shared" si="37"/>
        <v>44595</v>
      </c>
      <c r="D116" s="217">
        <f t="shared" si="37"/>
        <v>44615</v>
      </c>
      <c r="E116" s="198" t="s">
        <v>13</v>
      </c>
      <c r="F116" s="125">
        <v>9</v>
      </c>
      <c r="G116" s="199">
        <v>1045</v>
      </c>
      <c r="H116" s="200">
        <f>+$K$3</f>
        <v>5.6216525614293303E-4</v>
      </c>
      <c r="I116" s="200">
        <f t="shared" si="40"/>
        <v>4.2858466888302956E-4</v>
      </c>
      <c r="J116" s="201">
        <f t="shared" si="42"/>
        <v>0.4478709789827659</v>
      </c>
      <c r="K116" s="202">
        <f t="shared" si="35"/>
        <v>0.58746269266936502</v>
      </c>
      <c r="L116" s="203">
        <f>+J116-K116</f>
        <v>-0.13959171368659912</v>
      </c>
      <c r="M116" s="204">
        <f t="shared" si="28"/>
        <v>-5.7646030316568482E-3</v>
      </c>
      <c r="N116" s="205">
        <f t="shared" si="29"/>
        <v>-0.14535631671825597</v>
      </c>
      <c r="O116" s="204">
        <f t="shared" si="30"/>
        <v>0</v>
      </c>
      <c r="P116" s="204">
        <f t="shared" si="31"/>
        <v>0</v>
      </c>
      <c r="Q116" s="204">
        <v>0</v>
      </c>
      <c r="R116" s="205">
        <f t="shared" si="32"/>
        <v>-0.14535631671825597</v>
      </c>
    </row>
    <row r="117" spans="1:18" x14ac:dyDescent="0.2">
      <c r="A117" s="162">
        <v>2</v>
      </c>
      <c r="B117" s="197">
        <f t="shared" si="41"/>
        <v>44593</v>
      </c>
      <c r="C117" s="217">
        <f t="shared" ref="C117:D139" si="43">+C105</f>
        <v>44623</v>
      </c>
      <c r="D117" s="217">
        <f t="shared" si="43"/>
        <v>44642</v>
      </c>
      <c r="E117" s="206" t="s">
        <v>13</v>
      </c>
      <c r="F117" s="162">
        <v>9</v>
      </c>
      <c r="G117" s="199">
        <v>1114</v>
      </c>
      <c r="H117" s="200">
        <f t="shared" ref="H117:H127" si="44">+$K$3</f>
        <v>5.6216525614293303E-4</v>
      </c>
      <c r="I117" s="200">
        <f t="shared" si="40"/>
        <v>4.2858466888302956E-4</v>
      </c>
      <c r="J117" s="201">
        <f t="shared" si="42"/>
        <v>0.47744332113569493</v>
      </c>
      <c r="K117" s="202">
        <f t="shared" si="35"/>
        <v>0.62625209534322734</v>
      </c>
      <c r="L117" s="203">
        <f>+J117-K117</f>
        <v>-0.14880877420753241</v>
      </c>
      <c r="M117" s="204">
        <f t="shared" si="28"/>
        <v>-6.1452323227423238E-3</v>
      </c>
      <c r="N117" s="205">
        <f t="shared" si="29"/>
        <v>-0.15495400653027475</v>
      </c>
      <c r="O117" s="204">
        <f t="shared" si="30"/>
        <v>0</v>
      </c>
      <c r="P117" s="204">
        <f t="shared" si="31"/>
        <v>0</v>
      </c>
      <c r="Q117" s="204">
        <v>0</v>
      </c>
      <c r="R117" s="205">
        <f t="shared" si="32"/>
        <v>-0.15495400653027475</v>
      </c>
    </row>
    <row r="118" spans="1:18" x14ac:dyDescent="0.2">
      <c r="A118" s="162">
        <v>3</v>
      </c>
      <c r="B118" s="197">
        <f t="shared" si="41"/>
        <v>44621</v>
      </c>
      <c r="C118" s="217">
        <f t="shared" si="43"/>
        <v>44656</v>
      </c>
      <c r="D118" s="217">
        <f t="shared" si="43"/>
        <v>44676</v>
      </c>
      <c r="E118" s="206" t="s">
        <v>13</v>
      </c>
      <c r="F118" s="162">
        <v>9</v>
      </c>
      <c r="G118" s="199">
        <v>977</v>
      </c>
      <c r="H118" s="200">
        <f t="shared" si="44"/>
        <v>5.6216525614293303E-4</v>
      </c>
      <c r="I118" s="200">
        <f t="shared" si="40"/>
        <v>4.2858466888302956E-4</v>
      </c>
      <c r="J118" s="201">
        <f t="shared" si="42"/>
        <v>0.41872722149871988</v>
      </c>
      <c r="K118" s="202">
        <f t="shared" si="35"/>
        <v>0.54923545525164552</v>
      </c>
      <c r="L118" s="203">
        <f>+J118-K118</f>
        <v>-0.13050823375292564</v>
      </c>
      <c r="M118" s="204">
        <f t="shared" si="28"/>
        <v>-5.389490107108842E-3</v>
      </c>
      <c r="N118" s="205">
        <f t="shared" si="29"/>
        <v>-0.13589772386003449</v>
      </c>
      <c r="O118" s="204">
        <f t="shared" si="30"/>
        <v>0</v>
      </c>
      <c r="P118" s="204">
        <f t="shared" si="31"/>
        <v>0</v>
      </c>
      <c r="Q118" s="204">
        <v>0</v>
      </c>
      <c r="R118" s="205">
        <f t="shared" si="32"/>
        <v>-0.13589772386003449</v>
      </c>
    </row>
    <row r="119" spans="1:18" x14ac:dyDescent="0.2">
      <c r="A119" s="125">
        <v>4</v>
      </c>
      <c r="B119" s="197">
        <f t="shared" si="41"/>
        <v>44652</v>
      </c>
      <c r="C119" s="217">
        <f t="shared" si="43"/>
        <v>44685</v>
      </c>
      <c r="D119" s="217">
        <f t="shared" si="43"/>
        <v>44705</v>
      </c>
      <c r="E119" s="54" t="s">
        <v>13</v>
      </c>
      <c r="F119" s="162">
        <v>9</v>
      </c>
      <c r="G119" s="199">
        <v>539</v>
      </c>
      <c r="H119" s="200">
        <f t="shared" si="44"/>
        <v>5.6216525614293303E-4</v>
      </c>
      <c r="I119" s="200">
        <f t="shared" si="40"/>
        <v>4.2858466888302956E-4</v>
      </c>
      <c r="J119" s="201">
        <f t="shared" si="42"/>
        <v>0.23100713652795293</v>
      </c>
      <c r="K119" s="202">
        <f t="shared" si="35"/>
        <v>0.30300707306104091</v>
      </c>
      <c r="L119" s="203">
        <f t="shared" ref="L119:L127" si="45">+J119-K119</f>
        <v>-7.1999936533087977E-2</v>
      </c>
      <c r="M119" s="204">
        <f t="shared" si="28"/>
        <v>-2.9733215636966897E-3</v>
      </c>
      <c r="N119" s="205">
        <f t="shared" si="29"/>
        <v>-7.4973258096784665E-2</v>
      </c>
      <c r="O119" s="204">
        <f t="shared" si="30"/>
        <v>0</v>
      </c>
      <c r="P119" s="204">
        <f t="shared" si="31"/>
        <v>0</v>
      </c>
      <c r="Q119" s="204">
        <v>0</v>
      </c>
      <c r="R119" s="205">
        <f t="shared" si="32"/>
        <v>-7.4973258096784665E-2</v>
      </c>
    </row>
    <row r="120" spans="1:18" x14ac:dyDescent="0.2">
      <c r="A120" s="162">
        <v>5</v>
      </c>
      <c r="B120" s="197">
        <f t="shared" si="41"/>
        <v>44682</v>
      </c>
      <c r="C120" s="217">
        <f t="shared" si="43"/>
        <v>44715</v>
      </c>
      <c r="D120" s="217">
        <f t="shared" si="43"/>
        <v>44735</v>
      </c>
      <c r="E120" s="54" t="s">
        <v>13</v>
      </c>
      <c r="F120" s="162">
        <v>9</v>
      </c>
      <c r="G120" s="199">
        <v>754</v>
      </c>
      <c r="H120" s="200">
        <f t="shared" si="44"/>
        <v>5.6216525614293303E-4</v>
      </c>
      <c r="I120" s="200">
        <f t="shared" si="40"/>
        <v>4.2858466888302956E-4</v>
      </c>
      <c r="J120" s="201">
        <f t="shared" si="42"/>
        <v>0.32315284033780428</v>
      </c>
      <c r="K120" s="202">
        <f t="shared" si="35"/>
        <v>0.4238726031317715</v>
      </c>
      <c r="L120" s="203">
        <f t="shared" si="45"/>
        <v>-0.10071976279396722</v>
      </c>
      <c r="M120" s="204">
        <f t="shared" si="28"/>
        <v>-4.1593403692528836E-3</v>
      </c>
      <c r="N120" s="205">
        <f t="shared" si="29"/>
        <v>-0.10487910316322011</v>
      </c>
      <c r="O120" s="204">
        <f t="shared" si="30"/>
        <v>0</v>
      </c>
      <c r="P120" s="204">
        <f t="shared" si="31"/>
        <v>0</v>
      </c>
      <c r="Q120" s="204">
        <v>0</v>
      </c>
      <c r="R120" s="205">
        <f t="shared" si="32"/>
        <v>-0.10487910316322011</v>
      </c>
    </row>
    <row r="121" spans="1:18" x14ac:dyDescent="0.2">
      <c r="A121" s="162">
        <v>6</v>
      </c>
      <c r="B121" s="197">
        <f t="shared" si="41"/>
        <v>44713</v>
      </c>
      <c r="C121" s="217">
        <f t="shared" si="43"/>
        <v>44747</v>
      </c>
      <c r="D121" s="217">
        <f t="shared" si="43"/>
        <v>44767</v>
      </c>
      <c r="E121" s="54" t="s">
        <v>13</v>
      </c>
      <c r="F121" s="162">
        <v>9</v>
      </c>
      <c r="G121" s="199">
        <v>946</v>
      </c>
      <c r="H121" s="200">
        <f t="shared" si="44"/>
        <v>5.6216525614293303E-4</v>
      </c>
      <c r="I121" s="200">
        <f t="shared" si="40"/>
        <v>4.2858466888302956E-4</v>
      </c>
      <c r="J121" s="201">
        <f t="shared" si="42"/>
        <v>0.40544109676334594</v>
      </c>
      <c r="K121" s="202">
        <f t="shared" si="35"/>
        <v>0.5318083323112146</v>
      </c>
      <c r="L121" s="207">
        <f t="shared" si="45"/>
        <v>-0.12636723554786866</v>
      </c>
      <c r="M121" s="204">
        <f t="shared" si="28"/>
        <v>-5.2184827444472512E-3</v>
      </c>
      <c r="N121" s="205">
        <f t="shared" si="29"/>
        <v>-0.13158571829231591</v>
      </c>
      <c r="O121" s="204">
        <f t="shared" si="30"/>
        <v>0</v>
      </c>
      <c r="P121" s="204">
        <f t="shared" si="31"/>
        <v>0</v>
      </c>
      <c r="Q121" s="204">
        <v>0</v>
      </c>
      <c r="R121" s="205">
        <f t="shared" si="32"/>
        <v>-0.13158571829231591</v>
      </c>
    </row>
    <row r="122" spans="1:18" x14ac:dyDescent="0.2">
      <c r="A122" s="125">
        <v>7</v>
      </c>
      <c r="B122" s="197">
        <f t="shared" si="41"/>
        <v>44743</v>
      </c>
      <c r="C122" s="217">
        <f t="shared" si="43"/>
        <v>44776</v>
      </c>
      <c r="D122" s="217">
        <f t="shared" si="43"/>
        <v>44796</v>
      </c>
      <c r="E122" s="54" t="s">
        <v>13</v>
      </c>
      <c r="F122" s="162">
        <v>9</v>
      </c>
      <c r="G122" s="199">
        <v>979</v>
      </c>
      <c r="H122" s="200">
        <f t="shared" si="44"/>
        <v>5.6216525614293303E-4</v>
      </c>
      <c r="I122" s="200">
        <f t="shared" si="40"/>
        <v>4.2858466888302956E-4</v>
      </c>
      <c r="J122" s="201">
        <f t="shared" si="42"/>
        <v>0.41958439083648597</v>
      </c>
      <c r="K122" s="208">
        <f t="shared" si="35"/>
        <v>0.55035978576393141</v>
      </c>
      <c r="L122" s="207">
        <f t="shared" si="45"/>
        <v>-0.13077539492744544</v>
      </c>
      <c r="M122" s="204">
        <f t="shared" si="28"/>
        <v>-5.4005228401837833E-3</v>
      </c>
      <c r="N122" s="205">
        <f t="shared" si="29"/>
        <v>-0.13617591776762922</v>
      </c>
      <c r="O122" s="204">
        <f t="shared" si="30"/>
        <v>0</v>
      </c>
      <c r="P122" s="204">
        <f t="shared" si="31"/>
        <v>0</v>
      </c>
      <c r="Q122" s="204">
        <v>0</v>
      </c>
      <c r="R122" s="205">
        <f t="shared" si="32"/>
        <v>-0.13617591776762922</v>
      </c>
    </row>
    <row r="123" spans="1:18" x14ac:dyDescent="0.2">
      <c r="A123" s="162">
        <v>8</v>
      </c>
      <c r="B123" s="197">
        <f t="shared" si="41"/>
        <v>44774</v>
      </c>
      <c r="C123" s="217">
        <f t="shared" si="43"/>
        <v>44809</v>
      </c>
      <c r="D123" s="217">
        <f t="shared" si="43"/>
        <v>44827</v>
      </c>
      <c r="E123" s="54" t="s">
        <v>13</v>
      </c>
      <c r="F123" s="162">
        <v>9</v>
      </c>
      <c r="G123" s="199">
        <v>973</v>
      </c>
      <c r="H123" s="200">
        <f t="shared" si="44"/>
        <v>5.6216525614293303E-4</v>
      </c>
      <c r="I123" s="200">
        <f t="shared" si="40"/>
        <v>4.2858466888302956E-4</v>
      </c>
      <c r="J123" s="201">
        <f t="shared" si="42"/>
        <v>0.41701288282318777</v>
      </c>
      <c r="K123" s="208">
        <f t="shared" si="35"/>
        <v>0.54698679422707386</v>
      </c>
      <c r="L123" s="207">
        <f t="shared" si="45"/>
        <v>-0.12997391140388609</v>
      </c>
      <c r="M123" s="204">
        <f t="shared" si="28"/>
        <v>-5.3674246409589595E-3</v>
      </c>
      <c r="N123" s="205">
        <f t="shared" si="29"/>
        <v>-0.13534133604484505</v>
      </c>
      <c r="O123" s="204">
        <f t="shared" si="30"/>
        <v>0</v>
      </c>
      <c r="P123" s="204">
        <f t="shared" si="31"/>
        <v>0</v>
      </c>
      <c r="Q123" s="204">
        <v>0</v>
      </c>
      <c r="R123" s="205">
        <f t="shared" si="32"/>
        <v>-0.13534133604484505</v>
      </c>
    </row>
    <row r="124" spans="1:18" x14ac:dyDescent="0.2">
      <c r="A124" s="162">
        <v>9</v>
      </c>
      <c r="B124" s="197">
        <f t="shared" si="41"/>
        <v>44805</v>
      </c>
      <c r="C124" s="217">
        <f t="shared" si="43"/>
        <v>44839</v>
      </c>
      <c r="D124" s="217">
        <f t="shared" si="43"/>
        <v>44859</v>
      </c>
      <c r="E124" s="54" t="s">
        <v>13</v>
      </c>
      <c r="F124" s="162">
        <v>9</v>
      </c>
      <c r="G124" s="199">
        <v>847</v>
      </c>
      <c r="H124" s="200">
        <f t="shared" si="44"/>
        <v>5.6216525614293303E-4</v>
      </c>
      <c r="I124" s="200">
        <f t="shared" si="40"/>
        <v>4.2858466888302956E-4</v>
      </c>
      <c r="J124" s="201">
        <f t="shared" si="42"/>
        <v>0.36301121454392604</v>
      </c>
      <c r="K124" s="208">
        <f t="shared" si="35"/>
        <v>0.4761539719530643</v>
      </c>
      <c r="L124" s="207">
        <f t="shared" si="45"/>
        <v>-0.11314275740913826</v>
      </c>
      <c r="M124" s="204">
        <f t="shared" si="28"/>
        <v>-4.6723624572376551E-3</v>
      </c>
      <c r="N124" s="205">
        <f t="shared" si="29"/>
        <v>-0.11781511986637591</v>
      </c>
      <c r="O124" s="204">
        <f t="shared" si="30"/>
        <v>0</v>
      </c>
      <c r="P124" s="204">
        <f t="shared" si="31"/>
        <v>0</v>
      </c>
      <c r="Q124" s="204">
        <v>0</v>
      </c>
      <c r="R124" s="205">
        <f t="shared" si="32"/>
        <v>-0.11781511986637591</v>
      </c>
    </row>
    <row r="125" spans="1:18" x14ac:dyDescent="0.2">
      <c r="A125" s="125">
        <v>10</v>
      </c>
      <c r="B125" s="197">
        <f t="shared" si="41"/>
        <v>44835</v>
      </c>
      <c r="C125" s="217">
        <f t="shared" si="43"/>
        <v>44868</v>
      </c>
      <c r="D125" s="217">
        <f t="shared" si="43"/>
        <v>44888</v>
      </c>
      <c r="E125" s="54" t="s">
        <v>13</v>
      </c>
      <c r="F125" s="162">
        <v>9</v>
      </c>
      <c r="G125" s="199">
        <v>609</v>
      </c>
      <c r="H125" s="200">
        <f t="shared" si="44"/>
        <v>5.6216525614293303E-4</v>
      </c>
      <c r="I125" s="200">
        <f t="shared" si="40"/>
        <v>4.2858466888302956E-4</v>
      </c>
      <c r="J125" s="201">
        <f t="shared" si="42"/>
        <v>0.26100806334976501</v>
      </c>
      <c r="K125" s="208">
        <f t="shared" si="35"/>
        <v>0.34235864099104624</v>
      </c>
      <c r="L125" s="207">
        <f t="shared" si="45"/>
        <v>-8.135057764128123E-2</v>
      </c>
      <c r="M125" s="204">
        <f t="shared" si="28"/>
        <v>-3.3594672213196363E-3</v>
      </c>
      <c r="N125" s="205">
        <f t="shared" si="29"/>
        <v>-8.4710044862600864E-2</v>
      </c>
      <c r="O125" s="204">
        <f t="shared" si="30"/>
        <v>0</v>
      </c>
      <c r="P125" s="204">
        <f t="shared" si="31"/>
        <v>0</v>
      </c>
      <c r="Q125" s="204">
        <v>0</v>
      </c>
      <c r="R125" s="205">
        <f t="shared" si="32"/>
        <v>-8.4710044862600864E-2</v>
      </c>
    </row>
    <row r="126" spans="1:18" x14ac:dyDescent="0.2">
      <c r="A126" s="162">
        <v>11</v>
      </c>
      <c r="B126" s="197">
        <f t="shared" si="41"/>
        <v>44866</v>
      </c>
      <c r="C126" s="217">
        <f t="shared" si="43"/>
        <v>44900</v>
      </c>
      <c r="D126" s="217">
        <f t="shared" si="43"/>
        <v>44918</v>
      </c>
      <c r="E126" s="54" t="s">
        <v>13</v>
      </c>
      <c r="F126" s="162">
        <v>9</v>
      </c>
      <c r="G126" s="199">
        <v>807</v>
      </c>
      <c r="H126" s="200">
        <f t="shared" si="44"/>
        <v>5.6216525614293303E-4</v>
      </c>
      <c r="I126" s="200">
        <f t="shared" si="40"/>
        <v>4.2858466888302956E-4</v>
      </c>
      <c r="J126" s="201">
        <f t="shared" si="42"/>
        <v>0.34586782778860486</v>
      </c>
      <c r="K126" s="208">
        <f t="shared" si="35"/>
        <v>0.45366736170734695</v>
      </c>
      <c r="L126" s="207">
        <f t="shared" si="45"/>
        <v>-0.10779953391874209</v>
      </c>
      <c r="M126" s="204">
        <f t="shared" si="28"/>
        <v>-4.4517077957388282E-3</v>
      </c>
      <c r="N126" s="205">
        <f t="shared" si="29"/>
        <v>-0.11225124171448092</v>
      </c>
      <c r="O126" s="204">
        <f t="shared" si="30"/>
        <v>0</v>
      </c>
      <c r="P126" s="204">
        <f t="shared" si="31"/>
        <v>0</v>
      </c>
      <c r="Q126" s="204">
        <v>0</v>
      </c>
      <c r="R126" s="205">
        <f t="shared" si="32"/>
        <v>-0.11225124171448092</v>
      </c>
    </row>
    <row r="127" spans="1:18" s="221" customFormat="1" x14ac:dyDescent="0.2">
      <c r="A127" s="162">
        <v>12</v>
      </c>
      <c r="B127" s="219">
        <f t="shared" si="41"/>
        <v>44896</v>
      </c>
      <c r="C127" s="222">
        <f t="shared" si="43"/>
        <v>44930</v>
      </c>
      <c r="D127" s="222">
        <f t="shared" si="43"/>
        <v>44950</v>
      </c>
      <c r="E127" s="220" t="s">
        <v>13</v>
      </c>
      <c r="F127" s="173">
        <v>9</v>
      </c>
      <c r="G127" s="199">
        <v>1434</v>
      </c>
      <c r="H127" s="209">
        <f t="shared" si="44"/>
        <v>5.6216525614293303E-4</v>
      </c>
      <c r="I127" s="209">
        <f t="shared" si="40"/>
        <v>4.2858466888302956E-4</v>
      </c>
      <c r="J127" s="210">
        <f t="shared" si="42"/>
        <v>0.6145904151782644</v>
      </c>
      <c r="K127" s="211">
        <f t="shared" si="35"/>
        <v>0.80614497730896595</v>
      </c>
      <c r="L127" s="212">
        <f t="shared" si="45"/>
        <v>-0.19155456213070154</v>
      </c>
      <c r="M127" s="204">
        <f t="shared" si="28"/>
        <v>-7.9104696147329363E-3</v>
      </c>
      <c r="N127" s="205">
        <f t="shared" si="29"/>
        <v>-0.19946503174543448</v>
      </c>
      <c r="O127" s="204">
        <f t="shared" si="30"/>
        <v>0</v>
      </c>
      <c r="P127" s="204">
        <f t="shared" si="31"/>
        <v>0</v>
      </c>
      <c r="Q127" s="204">
        <v>0</v>
      </c>
      <c r="R127" s="205">
        <f t="shared" si="32"/>
        <v>-0.19946503174543448</v>
      </c>
    </row>
    <row r="128" spans="1:18" x14ac:dyDescent="0.2">
      <c r="A128" s="125">
        <v>1</v>
      </c>
      <c r="B128" s="197">
        <f t="shared" si="41"/>
        <v>44562</v>
      </c>
      <c r="C128" s="217">
        <f t="shared" si="43"/>
        <v>44595</v>
      </c>
      <c r="D128" s="217">
        <f t="shared" si="43"/>
        <v>44615</v>
      </c>
      <c r="E128" s="198" t="s">
        <v>15</v>
      </c>
      <c r="F128" s="125">
        <v>9</v>
      </c>
      <c r="G128" s="199">
        <v>8</v>
      </c>
      <c r="H128" s="200">
        <f>+$K$3</f>
        <v>5.6216525614293303E-4</v>
      </c>
      <c r="I128" s="200">
        <f t="shared" ref="I128:I147" si="46">$J$3</f>
        <v>4.2858466888302956E-4</v>
      </c>
      <c r="J128" s="201">
        <f t="shared" si="42"/>
        <v>3.4286773510642365E-3</v>
      </c>
      <c r="K128" s="202">
        <f t="shared" si="35"/>
        <v>4.4973220491434642E-3</v>
      </c>
      <c r="L128" s="203">
        <f>+J128-K128</f>
        <v>-1.0686446980792278E-3</v>
      </c>
      <c r="M128" s="204">
        <f t="shared" si="28"/>
        <v>-4.4130932299765342E-5</v>
      </c>
      <c r="N128" s="205">
        <f t="shared" si="29"/>
        <v>-1.112775630378993E-3</v>
      </c>
      <c r="O128" s="204">
        <f t="shared" si="30"/>
        <v>0</v>
      </c>
      <c r="P128" s="204">
        <f t="shared" si="31"/>
        <v>0</v>
      </c>
      <c r="Q128" s="204">
        <v>0</v>
      </c>
      <c r="R128" s="205">
        <f t="shared" si="32"/>
        <v>-1.112775630378993E-3</v>
      </c>
    </row>
    <row r="129" spans="1:18" x14ac:dyDescent="0.2">
      <c r="A129" s="162">
        <v>2</v>
      </c>
      <c r="B129" s="197">
        <f t="shared" si="41"/>
        <v>44593</v>
      </c>
      <c r="C129" s="217">
        <f t="shared" si="43"/>
        <v>44623</v>
      </c>
      <c r="D129" s="217">
        <f t="shared" si="43"/>
        <v>44642</v>
      </c>
      <c r="E129" s="206" t="s">
        <v>15</v>
      </c>
      <c r="F129" s="162">
        <v>9</v>
      </c>
      <c r="G129" s="199">
        <v>7</v>
      </c>
      <c r="H129" s="200">
        <f t="shared" ref="H129:H139" si="47">+$K$3</f>
        <v>5.6216525614293303E-4</v>
      </c>
      <c r="I129" s="200">
        <f t="shared" si="46"/>
        <v>4.2858466888302956E-4</v>
      </c>
      <c r="J129" s="201">
        <f t="shared" si="42"/>
        <v>3.0000926821812067E-3</v>
      </c>
      <c r="K129" s="202">
        <f t="shared" si="35"/>
        <v>3.9351567930005311E-3</v>
      </c>
      <c r="L129" s="203">
        <f>+J129-K129</f>
        <v>-9.3506411081932441E-4</v>
      </c>
      <c r="M129" s="204">
        <f t="shared" si="28"/>
        <v>-3.8614565762294672E-5</v>
      </c>
      <c r="N129" s="205">
        <f t="shared" si="29"/>
        <v>-9.7367867658161903E-4</v>
      </c>
      <c r="O129" s="204">
        <f t="shared" si="30"/>
        <v>0</v>
      </c>
      <c r="P129" s="204">
        <f t="shared" si="31"/>
        <v>0</v>
      </c>
      <c r="Q129" s="204">
        <v>0</v>
      </c>
      <c r="R129" s="205">
        <f t="shared" si="32"/>
        <v>-9.7367867658161903E-4</v>
      </c>
    </row>
    <row r="130" spans="1:18" x14ac:dyDescent="0.2">
      <c r="A130" s="162">
        <v>3</v>
      </c>
      <c r="B130" s="197">
        <f t="shared" si="41"/>
        <v>44621</v>
      </c>
      <c r="C130" s="217">
        <f t="shared" si="43"/>
        <v>44656</v>
      </c>
      <c r="D130" s="217">
        <f t="shared" si="43"/>
        <v>44676</v>
      </c>
      <c r="E130" s="206" t="s">
        <v>15</v>
      </c>
      <c r="F130" s="162">
        <v>9</v>
      </c>
      <c r="G130" s="199">
        <v>5</v>
      </c>
      <c r="H130" s="200">
        <f t="shared" si="47"/>
        <v>5.6216525614293303E-4</v>
      </c>
      <c r="I130" s="200">
        <f t="shared" si="46"/>
        <v>4.2858466888302956E-4</v>
      </c>
      <c r="J130" s="201">
        <f t="shared" si="42"/>
        <v>2.142923344415148E-3</v>
      </c>
      <c r="K130" s="202">
        <f t="shared" si="35"/>
        <v>2.8108262807146653E-3</v>
      </c>
      <c r="L130" s="203">
        <f>+J130-K130</f>
        <v>-6.6790293629951725E-4</v>
      </c>
      <c r="M130" s="204">
        <f t="shared" si="28"/>
        <v>-2.7581832687353337E-5</v>
      </c>
      <c r="N130" s="205">
        <f t="shared" si="29"/>
        <v>-6.9548476898687061E-4</v>
      </c>
      <c r="O130" s="204">
        <f t="shared" si="30"/>
        <v>0</v>
      </c>
      <c r="P130" s="204">
        <f t="shared" si="31"/>
        <v>0</v>
      </c>
      <c r="Q130" s="204">
        <v>0</v>
      </c>
      <c r="R130" s="205">
        <f t="shared" si="32"/>
        <v>-6.9548476898687061E-4</v>
      </c>
    </row>
    <row r="131" spans="1:18" x14ac:dyDescent="0.2">
      <c r="A131" s="125">
        <v>4</v>
      </c>
      <c r="B131" s="197">
        <f t="shared" si="41"/>
        <v>44652</v>
      </c>
      <c r="C131" s="217">
        <f t="shared" si="43"/>
        <v>44685</v>
      </c>
      <c r="D131" s="217">
        <f t="shared" si="43"/>
        <v>44705</v>
      </c>
      <c r="E131" s="206" t="s">
        <v>15</v>
      </c>
      <c r="F131" s="162">
        <v>9</v>
      </c>
      <c r="G131" s="199">
        <v>7</v>
      </c>
      <c r="H131" s="200">
        <f t="shared" si="47"/>
        <v>5.6216525614293303E-4</v>
      </c>
      <c r="I131" s="200">
        <f t="shared" si="46"/>
        <v>4.2858466888302956E-4</v>
      </c>
      <c r="J131" s="201">
        <f t="shared" si="42"/>
        <v>3.0000926821812067E-3</v>
      </c>
      <c r="K131" s="202">
        <f t="shared" si="35"/>
        <v>3.9351567930005311E-3</v>
      </c>
      <c r="L131" s="203">
        <f t="shared" ref="L131:L141" si="48">+J131-K131</f>
        <v>-9.3506411081932441E-4</v>
      </c>
      <c r="M131" s="204">
        <f t="shared" si="28"/>
        <v>-3.8614565762294672E-5</v>
      </c>
      <c r="N131" s="205">
        <f t="shared" si="29"/>
        <v>-9.7367867658161903E-4</v>
      </c>
      <c r="O131" s="204">
        <f t="shared" si="30"/>
        <v>0</v>
      </c>
      <c r="P131" s="204">
        <f t="shared" si="31"/>
        <v>0</v>
      </c>
      <c r="Q131" s="204">
        <v>0</v>
      </c>
      <c r="R131" s="205">
        <f t="shared" si="32"/>
        <v>-9.7367867658161903E-4</v>
      </c>
    </row>
    <row r="132" spans="1:18" x14ac:dyDescent="0.2">
      <c r="A132" s="162">
        <v>5</v>
      </c>
      <c r="B132" s="197">
        <f t="shared" si="41"/>
        <v>44682</v>
      </c>
      <c r="C132" s="217">
        <f t="shared" si="43"/>
        <v>44715</v>
      </c>
      <c r="D132" s="217">
        <f t="shared" si="43"/>
        <v>44735</v>
      </c>
      <c r="E132" s="54" t="s">
        <v>15</v>
      </c>
      <c r="F132" s="162">
        <v>9</v>
      </c>
      <c r="G132" s="199">
        <v>10</v>
      </c>
      <c r="H132" s="200">
        <f t="shared" si="47"/>
        <v>5.6216525614293303E-4</v>
      </c>
      <c r="I132" s="200">
        <f t="shared" si="46"/>
        <v>4.2858466888302956E-4</v>
      </c>
      <c r="J132" s="201">
        <f t="shared" si="42"/>
        <v>4.285846688830296E-3</v>
      </c>
      <c r="K132" s="202">
        <f t="shared" si="35"/>
        <v>5.6216525614293305E-3</v>
      </c>
      <c r="L132" s="203">
        <f t="shared" si="48"/>
        <v>-1.3358058725990345E-3</v>
      </c>
      <c r="M132" s="204">
        <f t="shared" si="28"/>
        <v>-5.5163665374706674E-5</v>
      </c>
      <c r="N132" s="205">
        <f t="shared" si="29"/>
        <v>-1.3909695379737412E-3</v>
      </c>
      <c r="O132" s="204">
        <f t="shared" si="30"/>
        <v>0</v>
      </c>
      <c r="P132" s="204">
        <f t="shared" si="31"/>
        <v>0</v>
      </c>
      <c r="Q132" s="204">
        <v>0</v>
      </c>
      <c r="R132" s="205">
        <f t="shared" si="32"/>
        <v>-1.3909695379737412E-3</v>
      </c>
    </row>
    <row r="133" spans="1:18" x14ac:dyDescent="0.2">
      <c r="A133" s="162">
        <v>6</v>
      </c>
      <c r="B133" s="197">
        <f t="shared" si="41"/>
        <v>44713</v>
      </c>
      <c r="C133" s="217">
        <f t="shared" si="43"/>
        <v>44747</v>
      </c>
      <c r="D133" s="217">
        <f t="shared" si="43"/>
        <v>44767</v>
      </c>
      <c r="E133" s="54" t="s">
        <v>15</v>
      </c>
      <c r="F133" s="162">
        <v>9</v>
      </c>
      <c r="G133" s="199">
        <v>14</v>
      </c>
      <c r="H133" s="200">
        <f t="shared" si="47"/>
        <v>5.6216525614293303E-4</v>
      </c>
      <c r="I133" s="200">
        <f t="shared" si="46"/>
        <v>4.2858466888302956E-4</v>
      </c>
      <c r="J133" s="201">
        <f t="shared" si="42"/>
        <v>6.0001853643624134E-3</v>
      </c>
      <c r="K133" s="202">
        <f t="shared" si="35"/>
        <v>7.8703135860010622E-3</v>
      </c>
      <c r="L133" s="207">
        <f t="shared" si="48"/>
        <v>-1.8701282216386488E-3</v>
      </c>
      <c r="M133" s="204">
        <f t="shared" si="28"/>
        <v>-7.7229131524589345E-5</v>
      </c>
      <c r="N133" s="205">
        <f t="shared" si="29"/>
        <v>-1.9473573531632381E-3</v>
      </c>
      <c r="O133" s="204">
        <f t="shared" si="30"/>
        <v>0</v>
      </c>
      <c r="P133" s="204">
        <f t="shared" si="31"/>
        <v>0</v>
      </c>
      <c r="Q133" s="204">
        <v>0</v>
      </c>
      <c r="R133" s="205">
        <f t="shared" si="32"/>
        <v>-1.9473573531632381E-3</v>
      </c>
    </row>
    <row r="134" spans="1:18" x14ac:dyDescent="0.2">
      <c r="A134" s="125">
        <v>7</v>
      </c>
      <c r="B134" s="197">
        <f t="shared" si="41"/>
        <v>44743</v>
      </c>
      <c r="C134" s="217">
        <f t="shared" si="43"/>
        <v>44776</v>
      </c>
      <c r="D134" s="217">
        <f t="shared" si="43"/>
        <v>44796</v>
      </c>
      <c r="E134" s="54" t="s">
        <v>15</v>
      </c>
      <c r="F134" s="162">
        <v>9</v>
      </c>
      <c r="G134" s="199">
        <v>18</v>
      </c>
      <c r="H134" s="200">
        <f t="shared" si="47"/>
        <v>5.6216525614293303E-4</v>
      </c>
      <c r="I134" s="200">
        <f t="shared" si="46"/>
        <v>4.2858466888302956E-4</v>
      </c>
      <c r="J134" s="201">
        <f t="shared" si="42"/>
        <v>7.7145240398945325E-3</v>
      </c>
      <c r="K134" s="208">
        <f t="shared" ref="K134:K197" si="49">+$G134*H134</f>
        <v>1.0118974610572795E-2</v>
      </c>
      <c r="L134" s="207">
        <f t="shared" si="48"/>
        <v>-2.4044505706782623E-3</v>
      </c>
      <c r="M134" s="204">
        <f t="shared" si="28"/>
        <v>-9.9294597674472022E-5</v>
      </c>
      <c r="N134" s="205">
        <f t="shared" si="29"/>
        <v>-2.5037451683527345E-3</v>
      </c>
      <c r="O134" s="204">
        <f t="shared" si="30"/>
        <v>0</v>
      </c>
      <c r="P134" s="204">
        <f t="shared" si="31"/>
        <v>0</v>
      </c>
      <c r="Q134" s="204">
        <v>0</v>
      </c>
      <c r="R134" s="205">
        <f t="shared" si="32"/>
        <v>-2.5037451683527345E-3</v>
      </c>
    </row>
    <row r="135" spans="1:18" x14ac:dyDescent="0.2">
      <c r="A135" s="162">
        <v>8</v>
      </c>
      <c r="B135" s="197">
        <f t="shared" si="41"/>
        <v>44774</v>
      </c>
      <c r="C135" s="217">
        <f t="shared" si="43"/>
        <v>44809</v>
      </c>
      <c r="D135" s="217">
        <f t="shared" si="43"/>
        <v>44827</v>
      </c>
      <c r="E135" s="54" t="s">
        <v>15</v>
      </c>
      <c r="F135" s="162">
        <v>9</v>
      </c>
      <c r="G135" s="199">
        <v>16</v>
      </c>
      <c r="H135" s="200">
        <f t="shared" si="47"/>
        <v>5.6216525614293303E-4</v>
      </c>
      <c r="I135" s="200">
        <f t="shared" si="46"/>
        <v>4.2858466888302956E-4</v>
      </c>
      <c r="J135" s="201">
        <f t="shared" si="42"/>
        <v>6.857354702128473E-3</v>
      </c>
      <c r="K135" s="208">
        <f t="shared" si="49"/>
        <v>8.9946440982869285E-3</v>
      </c>
      <c r="L135" s="207">
        <f t="shared" si="48"/>
        <v>-2.1372893961584555E-3</v>
      </c>
      <c r="M135" s="204">
        <f t="shared" si="28"/>
        <v>-8.8261864599530683E-5</v>
      </c>
      <c r="N135" s="205">
        <f t="shared" si="29"/>
        <v>-2.225551260757986E-3</v>
      </c>
      <c r="O135" s="204">
        <f t="shared" si="30"/>
        <v>0</v>
      </c>
      <c r="P135" s="204">
        <f t="shared" si="31"/>
        <v>0</v>
      </c>
      <c r="Q135" s="204">
        <v>0</v>
      </c>
      <c r="R135" s="205">
        <f t="shared" si="32"/>
        <v>-2.225551260757986E-3</v>
      </c>
    </row>
    <row r="136" spans="1:18" x14ac:dyDescent="0.2">
      <c r="A136" s="162">
        <v>9</v>
      </c>
      <c r="B136" s="197">
        <f t="shared" si="41"/>
        <v>44805</v>
      </c>
      <c r="C136" s="217">
        <f t="shared" si="43"/>
        <v>44839</v>
      </c>
      <c r="D136" s="217">
        <f t="shared" si="43"/>
        <v>44859</v>
      </c>
      <c r="E136" s="54" t="s">
        <v>15</v>
      </c>
      <c r="F136" s="162">
        <v>9</v>
      </c>
      <c r="G136" s="199">
        <v>9</v>
      </c>
      <c r="H136" s="200">
        <f t="shared" si="47"/>
        <v>5.6216525614293303E-4</v>
      </c>
      <c r="I136" s="200">
        <f t="shared" si="46"/>
        <v>4.2858466888302956E-4</v>
      </c>
      <c r="J136" s="201">
        <f t="shared" si="42"/>
        <v>3.8572620199472663E-3</v>
      </c>
      <c r="K136" s="208">
        <f t="shared" si="49"/>
        <v>5.0594873052863974E-3</v>
      </c>
      <c r="L136" s="207">
        <f t="shared" si="48"/>
        <v>-1.2022252853391311E-3</v>
      </c>
      <c r="M136" s="204">
        <f t="shared" si="28"/>
        <v>-4.9647298837236011E-5</v>
      </c>
      <c r="N136" s="205">
        <f t="shared" si="29"/>
        <v>-1.2518725841763672E-3</v>
      </c>
      <c r="O136" s="204">
        <f t="shared" si="30"/>
        <v>0</v>
      </c>
      <c r="P136" s="204">
        <f t="shared" si="31"/>
        <v>0</v>
      </c>
      <c r="Q136" s="204">
        <v>0</v>
      </c>
      <c r="R136" s="205">
        <f t="shared" si="32"/>
        <v>-1.2518725841763672E-3</v>
      </c>
    </row>
    <row r="137" spans="1:18" x14ac:dyDescent="0.2">
      <c r="A137" s="125">
        <v>10</v>
      </c>
      <c r="B137" s="197">
        <f t="shared" si="41"/>
        <v>44835</v>
      </c>
      <c r="C137" s="217">
        <f t="shared" si="43"/>
        <v>44868</v>
      </c>
      <c r="D137" s="217">
        <f t="shared" si="43"/>
        <v>44888</v>
      </c>
      <c r="E137" s="54" t="s">
        <v>15</v>
      </c>
      <c r="F137" s="162">
        <v>9</v>
      </c>
      <c r="G137" s="199">
        <v>6</v>
      </c>
      <c r="H137" s="200">
        <f t="shared" si="47"/>
        <v>5.6216525614293303E-4</v>
      </c>
      <c r="I137" s="200">
        <f t="shared" si="46"/>
        <v>4.2858466888302956E-4</v>
      </c>
      <c r="J137" s="201">
        <f t="shared" si="42"/>
        <v>2.5715080132981774E-3</v>
      </c>
      <c r="K137" s="208">
        <f t="shared" si="49"/>
        <v>3.372991536857598E-3</v>
      </c>
      <c r="L137" s="207">
        <f t="shared" si="48"/>
        <v>-8.0148352355942061E-4</v>
      </c>
      <c r="M137" s="204">
        <f t="shared" si="28"/>
        <v>-3.3098199224824003E-5</v>
      </c>
      <c r="N137" s="205">
        <f t="shared" si="29"/>
        <v>-8.345817227842446E-4</v>
      </c>
      <c r="O137" s="204">
        <f t="shared" si="30"/>
        <v>0</v>
      </c>
      <c r="P137" s="204">
        <f t="shared" si="31"/>
        <v>0</v>
      </c>
      <c r="Q137" s="204">
        <v>0</v>
      </c>
      <c r="R137" s="205">
        <f t="shared" si="32"/>
        <v>-8.345817227842446E-4</v>
      </c>
    </row>
    <row r="138" spans="1:18" x14ac:dyDescent="0.2">
      <c r="A138" s="162">
        <v>11</v>
      </c>
      <c r="B138" s="197">
        <f t="shared" si="41"/>
        <v>44866</v>
      </c>
      <c r="C138" s="217">
        <f t="shared" si="43"/>
        <v>44900</v>
      </c>
      <c r="D138" s="217">
        <f t="shared" si="43"/>
        <v>44918</v>
      </c>
      <c r="E138" s="54" t="s">
        <v>15</v>
      </c>
      <c r="F138" s="162">
        <v>9</v>
      </c>
      <c r="G138" s="199">
        <v>6</v>
      </c>
      <c r="H138" s="200">
        <f t="shared" si="47"/>
        <v>5.6216525614293303E-4</v>
      </c>
      <c r="I138" s="200">
        <f t="shared" si="46"/>
        <v>4.2858466888302956E-4</v>
      </c>
      <c r="J138" s="201">
        <f t="shared" si="42"/>
        <v>2.5715080132981774E-3</v>
      </c>
      <c r="K138" s="208">
        <f t="shared" si="49"/>
        <v>3.372991536857598E-3</v>
      </c>
      <c r="L138" s="207">
        <f t="shared" si="48"/>
        <v>-8.0148352355942061E-4</v>
      </c>
      <c r="M138" s="204">
        <f t="shared" si="28"/>
        <v>-3.3098199224824003E-5</v>
      </c>
      <c r="N138" s="205">
        <f t="shared" si="29"/>
        <v>-8.345817227842446E-4</v>
      </c>
      <c r="O138" s="204">
        <f t="shared" si="30"/>
        <v>0</v>
      </c>
      <c r="P138" s="204">
        <f t="shared" si="31"/>
        <v>0</v>
      </c>
      <c r="Q138" s="204">
        <v>0</v>
      </c>
      <c r="R138" s="205">
        <f t="shared" si="32"/>
        <v>-8.345817227842446E-4</v>
      </c>
    </row>
    <row r="139" spans="1:18" s="221" customFormat="1" x14ac:dyDescent="0.2">
      <c r="A139" s="162">
        <v>12</v>
      </c>
      <c r="B139" s="219">
        <f t="shared" si="41"/>
        <v>44896</v>
      </c>
      <c r="C139" s="217">
        <f t="shared" si="43"/>
        <v>44930</v>
      </c>
      <c r="D139" s="217">
        <f t="shared" si="43"/>
        <v>44950</v>
      </c>
      <c r="E139" s="220" t="s">
        <v>15</v>
      </c>
      <c r="F139" s="173">
        <v>9</v>
      </c>
      <c r="G139" s="199">
        <v>8</v>
      </c>
      <c r="H139" s="209">
        <f t="shared" si="47"/>
        <v>5.6216525614293303E-4</v>
      </c>
      <c r="I139" s="209">
        <f t="shared" si="46"/>
        <v>4.2858466888302956E-4</v>
      </c>
      <c r="J139" s="210">
        <f t="shared" si="42"/>
        <v>3.4286773510642365E-3</v>
      </c>
      <c r="K139" s="211">
        <f t="shared" si="49"/>
        <v>4.4973220491434642E-3</v>
      </c>
      <c r="L139" s="212">
        <f t="shared" si="48"/>
        <v>-1.0686446980792278E-3</v>
      </c>
      <c r="M139" s="204">
        <f t="shared" si="28"/>
        <v>-4.4130932299765342E-5</v>
      </c>
      <c r="N139" s="205">
        <f t="shared" si="29"/>
        <v>-1.112775630378993E-3</v>
      </c>
      <c r="O139" s="204">
        <f t="shared" si="30"/>
        <v>0</v>
      </c>
      <c r="P139" s="204">
        <f t="shared" si="31"/>
        <v>0</v>
      </c>
      <c r="Q139" s="204">
        <v>0</v>
      </c>
      <c r="R139" s="205">
        <f t="shared" si="32"/>
        <v>-1.112775630378993E-3</v>
      </c>
    </row>
    <row r="140" spans="1:18" x14ac:dyDescent="0.2">
      <c r="A140" s="125">
        <v>1</v>
      </c>
      <c r="B140" s="197">
        <f t="shared" si="41"/>
        <v>44562</v>
      </c>
      <c r="C140" s="214">
        <f t="shared" ref="C140:D151" si="50">+C128</f>
        <v>44595</v>
      </c>
      <c r="D140" s="214">
        <f t="shared" si="50"/>
        <v>44615</v>
      </c>
      <c r="E140" s="224" t="s">
        <v>16</v>
      </c>
      <c r="F140" s="162">
        <v>9</v>
      </c>
      <c r="G140" s="199">
        <v>3</v>
      </c>
      <c r="H140" s="200">
        <f>+$K$3</f>
        <v>5.6216525614293303E-4</v>
      </c>
      <c r="I140" s="200">
        <f t="shared" si="46"/>
        <v>4.2858466888302956E-4</v>
      </c>
      <c r="J140" s="201">
        <f t="shared" si="42"/>
        <v>1.2857540066490887E-3</v>
      </c>
      <c r="K140" s="202">
        <f t="shared" si="49"/>
        <v>1.686495768428799E-3</v>
      </c>
      <c r="L140" s="203">
        <f t="shared" si="48"/>
        <v>-4.0074176177971031E-4</v>
      </c>
      <c r="M140" s="204">
        <f t="shared" si="28"/>
        <v>-1.6549099612412001E-5</v>
      </c>
      <c r="N140" s="205">
        <f t="shared" si="29"/>
        <v>-4.172908613921223E-4</v>
      </c>
      <c r="O140" s="204">
        <f t="shared" si="30"/>
        <v>0</v>
      </c>
      <c r="P140" s="204">
        <f t="shared" si="31"/>
        <v>0</v>
      </c>
      <c r="Q140" s="204">
        <v>0</v>
      </c>
      <c r="R140" s="205">
        <f t="shared" si="32"/>
        <v>-4.172908613921223E-4</v>
      </c>
    </row>
    <row r="141" spans="1:18" x14ac:dyDescent="0.2">
      <c r="A141" s="162">
        <v>2</v>
      </c>
      <c r="B141" s="197">
        <f t="shared" si="41"/>
        <v>44593</v>
      </c>
      <c r="C141" s="217">
        <f t="shared" si="50"/>
        <v>44623</v>
      </c>
      <c r="D141" s="217">
        <f t="shared" si="50"/>
        <v>44642</v>
      </c>
      <c r="E141" s="54" t="s">
        <v>16</v>
      </c>
      <c r="F141" s="162">
        <v>9</v>
      </c>
      <c r="G141" s="199">
        <v>2</v>
      </c>
      <c r="H141" s="200">
        <f t="shared" ref="H141:H151" si="51">+$K$3</f>
        <v>5.6216525614293303E-4</v>
      </c>
      <c r="I141" s="200">
        <f t="shared" si="46"/>
        <v>4.2858466888302956E-4</v>
      </c>
      <c r="J141" s="201">
        <f t="shared" si="42"/>
        <v>8.5716933776605912E-4</v>
      </c>
      <c r="K141" s="202">
        <f t="shared" si="49"/>
        <v>1.1243305122858661E-3</v>
      </c>
      <c r="L141" s="203">
        <f t="shared" si="48"/>
        <v>-2.6716117451980694E-4</v>
      </c>
      <c r="M141" s="204">
        <f t="shared" si="28"/>
        <v>-1.1032733074941335E-5</v>
      </c>
      <c r="N141" s="205">
        <f t="shared" si="29"/>
        <v>-2.7819390759474826E-4</v>
      </c>
      <c r="O141" s="204">
        <f t="shared" si="30"/>
        <v>0</v>
      </c>
      <c r="P141" s="204">
        <f t="shared" si="31"/>
        <v>0</v>
      </c>
      <c r="Q141" s="204">
        <v>0</v>
      </c>
      <c r="R141" s="205">
        <f t="shared" si="32"/>
        <v>-2.7819390759474826E-4</v>
      </c>
    </row>
    <row r="142" spans="1:18" x14ac:dyDescent="0.2">
      <c r="A142" s="162">
        <v>3</v>
      </c>
      <c r="B142" s="197">
        <f t="shared" si="41"/>
        <v>44621</v>
      </c>
      <c r="C142" s="217">
        <f t="shared" si="50"/>
        <v>44656</v>
      </c>
      <c r="D142" s="217">
        <f t="shared" si="50"/>
        <v>44676</v>
      </c>
      <c r="E142" s="54" t="s">
        <v>16</v>
      </c>
      <c r="F142" s="162">
        <v>9</v>
      </c>
      <c r="G142" s="199">
        <v>3</v>
      </c>
      <c r="H142" s="200">
        <f t="shared" si="51"/>
        <v>5.6216525614293303E-4</v>
      </c>
      <c r="I142" s="200">
        <f t="shared" si="46"/>
        <v>4.2858466888302956E-4</v>
      </c>
      <c r="J142" s="201">
        <f t="shared" si="42"/>
        <v>1.2857540066490887E-3</v>
      </c>
      <c r="K142" s="202">
        <f t="shared" si="49"/>
        <v>1.686495768428799E-3</v>
      </c>
      <c r="L142" s="203">
        <f>+J142-K142</f>
        <v>-4.0074176177971031E-4</v>
      </c>
      <c r="M142" s="204">
        <f t="shared" si="28"/>
        <v>-1.6549099612412001E-5</v>
      </c>
      <c r="N142" s="205">
        <f t="shared" si="29"/>
        <v>-4.172908613921223E-4</v>
      </c>
      <c r="O142" s="204">
        <f t="shared" si="30"/>
        <v>0</v>
      </c>
      <c r="P142" s="204">
        <f t="shared" si="31"/>
        <v>0</v>
      </c>
      <c r="Q142" s="204">
        <v>0</v>
      </c>
      <c r="R142" s="205">
        <f t="shared" si="32"/>
        <v>-4.172908613921223E-4</v>
      </c>
    </row>
    <row r="143" spans="1:18" x14ac:dyDescent="0.2">
      <c r="A143" s="125">
        <v>4</v>
      </c>
      <c r="B143" s="197">
        <f t="shared" si="41"/>
        <v>44652</v>
      </c>
      <c r="C143" s="217">
        <f t="shared" si="50"/>
        <v>44685</v>
      </c>
      <c r="D143" s="217">
        <f t="shared" si="50"/>
        <v>44705</v>
      </c>
      <c r="E143" s="54" t="s">
        <v>16</v>
      </c>
      <c r="F143" s="162">
        <v>9</v>
      </c>
      <c r="G143" s="199">
        <v>2</v>
      </c>
      <c r="H143" s="200">
        <f t="shared" si="51"/>
        <v>5.6216525614293303E-4</v>
      </c>
      <c r="I143" s="200">
        <f t="shared" si="46"/>
        <v>4.2858466888302956E-4</v>
      </c>
      <c r="J143" s="201">
        <f t="shared" si="42"/>
        <v>8.5716933776605912E-4</v>
      </c>
      <c r="K143" s="202">
        <f t="shared" si="49"/>
        <v>1.1243305122858661E-3</v>
      </c>
      <c r="L143" s="203">
        <f t="shared" ref="L143:L153" si="52">+J143-K143</f>
        <v>-2.6716117451980694E-4</v>
      </c>
      <c r="M143" s="204">
        <f t="shared" si="28"/>
        <v>-1.1032733074941335E-5</v>
      </c>
      <c r="N143" s="205">
        <f t="shared" si="29"/>
        <v>-2.7819390759474826E-4</v>
      </c>
      <c r="O143" s="204">
        <f t="shared" si="30"/>
        <v>0</v>
      </c>
      <c r="P143" s="204">
        <f t="shared" si="31"/>
        <v>0</v>
      </c>
      <c r="Q143" s="204">
        <v>0</v>
      </c>
      <c r="R143" s="205">
        <f t="shared" si="32"/>
        <v>-2.7819390759474826E-4</v>
      </c>
    </row>
    <row r="144" spans="1:18" x14ac:dyDescent="0.2">
      <c r="A144" s="162">
        <v>5</v>
      </c>
      <c r="B144" s="197">
        <f t="shared" si="41"/>
        <v>44682</v>
      </c>
      <c r="C144" s="217">
        <f t="shared" si="50"/>
        <v>44715</v>
      </c>
      <c r="D144" s="217">
        <f t="shared" si="50"/>
        <v>44735</v>
      </c>
      <c r="E144" s="54" t="s">
        <v>16</v>
      </c>
      <c r="F144" s="162">
        <v>9</v>
      </c>
      <c r="G144" s="199">
        <v>3</v>
      </c>
      <c r="H144" s="200">
        <f t="shared" si="51"/>
        <v>5.6216525614293303E-4</v>
      </c>
      <c r="I144" s="200">
        <f t="shared" si="46"/>
        <v>4.2858466888302956E-4</v>
      </c>
      <c r="J144" s="201">
        <f t="shared" si="42"/>
        <v>1.2857540066490887E-3</v>
      </c>
      <c r="K144" s="202">
        <f t="shared" si="49"/>
        <v>1.686495768428799E-3</v>
      </c>
      <c r="L144" s="203">
        <f t="shared" si="52"/>
        <v>-4.0074176177971031E-4</v>
      </c>
      <c r="M144" s="204">
        <f t="shared" si="28"/>
        <v>-1.6549099612412001E-5</v>
      </c>
      <c r="N144" s="205">
        <f t="shared" si="29"/>
        <v>-4.172908613921223E-4</v>
      </c>
      <c r="O144" s="204">
        <f t="shared" si="30"/>
        <v>0</v>
      </c>
      <c r="P144" s="204">
        <f t="shared" si="31"/>
        <v>0</v>
      </c>
      <c r="Q144" s="204">
        <v>0</v>
      </c>
      <c r="R144" s="205">
        <f t="shared" si="32"/>
        <v>-4.172908613921223E-4</v>
      </c>
    </row>
    <row r="145" spans="1:19" x14ac:dyDescent="0.2">
      <c r="A145" s="162">
        <v>6</v>
      </c>
      <c r="B145" s="197">
        <f t="shared" si="41"/>
        <v>44713</v>
      </c>
      <c r="C145" s="217">
        <f t="shared" si="50"/>
        <v>44747</v>
      </c>
      <c r="D145" s="217">
        <f t="shared" si="50"/>
        <v>44767</v>
      </c>
      <c r="E145" s="54" t="s">
        <v>16</v>
      </c>
      <c r="F145" s="162">
        <v>9</v>
      </c>
      <c r="G145" s="199">
        <v>5</v>
      </c>
      <c r="H145" s="200">
        <f t="shared" si="51"/>
        <v>5.6216525614293303E-4</v>
      </c>
      <c r="I145" s="200">
        <f t="shared" si="46"/>
        <v>4.2858466888302956E-4</v>
      </c>
      <c r="J145" s="201">
        <f t="shared" si="42"/>
        <v>2.142923344415148E-3</v>
      </c>
      <c r="K145" s="202">
        <f t="shared" si="49"/>
        <v>2.8108262807146653E-3</v>
      </c>
      <c r="L145" s="207">
        <f t="shared" si="52"/>
        <v>-6.6790293629951725E-4</v>
      </c>
      <c r="M145" s="204">
        <f t="shared" si="28"/>
        <v>-2.7581832687353337E-5</v>
      </c>
      <c r="N145" s="205">
        <f t="shared" si="29"/>
        <v>-6.9548476898687061E-4</v>
      </c>
      <c r="O145" s="204">
        <f t="shared" si="30"/>
        <v>0</v>
      </c>
      <c r="P145" s="204">
        <f t="shared" si="31"/>
        <v>0</v>
      </c>
      <c r="Q145" s="204">
        <v>0</v>
      </c>
      <c r="R145" s="205">
        <f t="shared" si="32"/>
        <v>-6.9548476898687061E-4</v>
      </c>
    </row>
    <row r="146" spans="1:19" x14ac:dyDescent="0.2">
      <c r="A146" s="125">
        <v>7</v>
      </c>
      <c r="B146" s="197">
        <f t="shared" si="41"/>
        <v>44743</v>
      </c>
      <c r="C146" s="217">
        <f t="shared" si="50"/>
        <v>44776</v>
      </c>
      <c r="D146" s="217">
        <f t="shared" si="50"/>
        <v>44796</v>
      </c>
      <c r="E146" s="54" t="s">
        <v>16</v>
      </c>
      <c r="F146" s="162">
        <v>9</v>
      </c>
      <c r="G146" s="199">
        <v>6</v>
      </c>
      <c r="H146" s="200">
        <f t="shared" si="51"/>
        <v>5.6216525614293303E-4</v>
      </c>
      <c r="I146" s="200">
        <f t="shared" si="46"/>
        <v>4.2858466888302956E-4</v>
      </c>
      <c r="J146" s="201">
        <f t="shared" si="42"/>
        <v>2.5715080132981774E-3</v>
      </c>
      <c r="K146" s="208">
        <f t="shared" si="49"/>
        <v>3.372991536857598E-3</v>
      </c>
      <c r="L146" s="207">
        <f t="shared" si="52"/>
        <v>-8.0148352355942061E-4</v>
      </c>
      <c r="M146" s="204">
        <f t="shared" si="28"/>
        <v>-3.3098199224824003E-5</v>
      </c>
      <c r="N146" s="205">
        <f t="shared" si="29"/>
        <v>-8.345817227842446E-4</v>
      </c>
      <c r="O146" s="204">
        <f t="shared" si="30"/>
        <v>0</v>
      </c>
      <c r="P146" s="204">
        <f t="shared" si="31"/>
        <v>0</v>
      </c>
      <c r="Q146" s="204">
        <v>0</v>
      </c>
      <c r="R146" s="205">
        <f t="shared" si="32"/>
        <v>-8.345817227842446E-4</v>
      </c>
    </row>
    <row r="147" spans="1:19" x14ac:dyDescent="0.2">
      <c r="A147" s="162">
        <v>8</v>
      </c>
      <c r="B147" s="197">
        <f t="shared" si="41"/>
        <v>44774</v>
      </c>
      <c r="C147" s="217">
        <f t="shared" si="50"/>
        <v>44809</v>
      </c>
      <c r="D147" s="217">
        <f t="shared" si="50"/>
        <v>44827</v>
      </c>
      <c r="E147" s="54" t="s">
        <v>16</v>
      </c>
      <c r="F147" s="162">
        <v>9</v>
      </c>
      <c r="G147" s="199">
        <v>6</v>
      </c>
      <c r="H147" s="200">
        <f t="shared" si="51"/>
        <v>5.6216525614293303E-4</v>
      </c>
      <c r="I147" s="200">
        <f t="shared" si="46"/>
        <v>4.2858466888302956E-4</v>
      </c>
      <c r="J147" s="201">
        <f t="shared" si="42"/>
        <v>2.5715080132981774E-3</v>
      </c>
      <c r="K147" s="208">
        <f t="shared" si="49"/>
        <v>3.372991536857598E-3</v>
      </c>
      <c r="L147" s="207">
        <f t="shared" si="52"/>
        <v>-8.0148352355942061E-4</v>
      </c>
      <c r="M147" s="204">
        <f t="shared" si="28"/>
        <v>-3.3098199224824003E-5</v>
      </c>
      <c r="N147" s="205">
        <f t="shared" si="29"/>
        <v>-8.345817227842446E-4</v>
      </c>
      <c r="O147" s="204">
        <f t="shared" si="30"/>
        <v>0</v>
      </c>
      <c r="P147" s="204">
        <f t="shared" si="31"/>
        <v>0</v>
      </c>
      <c r="Q147" s="204">
        <v>0</v>
      </c>
      <c r="R147" s="205">
        <f t="shared" si="32"/>
        <v>-8.345817227842446E-4</v>
      </c>
    </row>
    <row r="148" spans="1:19" x14ac:dyDescent="0.2">
      <c r="A148" s="162">
        <v>9</v>
      </c>
      <c r="B148" s="197">
        <f t="shared" si="41"/>
        <v>44805</v>
      </c>
      <c r="C148" s="217">
        <f t="shared" si="50"/>
        <v>44839</v>
      </c>
      <c r="D148" s="217">
        <f t="shared" si="50"/>
        <v>44859</v>
      </c>
      <c r="E148" s="54" t="s">
        <v>16</v>
      </c>
      <c r="F148" s="162">
        <v>9</v>
      </c>
      <c r="G148" s="199">
        <v>3</v>
      </c>
      <c r="H148" s="200">
        <f t="shared" si="51"/>
        <v>5.6216525614293303E-4</v>
      </c>
      <c r="I148" s="200">
        <f t="shared" ref="I148:I179" si="53">$J$3</f>
        <v>4.2858466888302956E-4</v>
      </c>
      <c r="J148" s="201">
        <f t="shared" si="42"/>
        <v>1.2857540066490887E-3</v>
      </c>
      <c r="K148" s="208">
        <f t="shared" si="49"/>
        <v>1.686495768428799E-3</v>
      </c>
      <c r="L148" s="207">
        <f t="shared" si="52"/>
        <v>-4.0074176177971031E-4</v>
      </c>
      <c r="M148" s="204">
        <f t="shared" si="28"/>
        <v>-1.6549099612412001E-5</v>
      </c>
      <c r="N148" s="205">
        <f t="shared" si="29"/>
        <v>-4.172908613921223E-4</v>
      </c>
      <c r="O148" s="204">
        <f t="shared" si="30"/>
        <v>0</v>
      </c>
      <c r="P148" s="204">
        <f t="shared" si="31"/>
        <v>0</v>
      </c>
      <c r="Q148" s="204">
        <v>0</v>
      </c>
      <c r="R148" s="205">
        <f t="shared" si="32"/>
        <v>-4.172908613921223E-4</v>
      </c>
    </row>
    <row r="149" spans="1:19" x14ac:dyDescent="0.2">
      <c r="A149" s="125">
        <v>10</v>
      </c>
      <c r="B149" s="197">
        <f t="shared" ref="B149:B211" si="54">DATE($R$1,A149,1)</f>
        <v>44835</v>
      </c>
      <c r="C149" s="217">
        <f t="shared" si="50"/>
        <v>44868</v>
      </c>
      <c r="D149" s="217">
        <f t="shared" si="50"/>
        <v>44888</v>
      </c>
      <c r="E149" s="54" t="s">
        <v>16</v>
      </c>
      <c r="F149" s="162">
        <v>9</v>
      </c>
      <c r="G149" s="199">
        <v>2</v>
      </c>
      <c r="H149" s="200">
        <f t="shared" si="51"/>
        <v>5.6216525614293303E-4</v>
      </c>
      <c r="I149" s="200">
        <f t="shared" si="53"/>
        <v>4.2858466888302956E-4</v>
      </c>
      <c r="J149" s="201">
        <f t="shared" ref="J149:J211" si="55">+$G149*I149</f>
        <v>8.5716933776605912E-4</v>
      </c>
      <c r="K149" s="208">
        <f t="shared" si="49"/>
        <v>1.1243305122858661E-3</v>
      </c>
      <c r="L149" s="207">
        <f t="shared" si="52"/>
        <v>-2.6716117451980694E-4</v>
      </c>
      <c r="M149" s="204">
        <f t="shared" ref="M149:M211" si="56">G149/$G$212*$M$14</f>
        <v>-1.1032733074941335E-5</v>
      </c>
      <c r="N149" s="205">
        <f t="shared" ref="N149:N211" si="57">SUM(L149:M149)</f>
        <v>-2.7819390759474826E-4</v>
      </c>
      <c r="O149" s="204">
        <f t="shared" ref="O149:O211" si="58">+$P$3</f>
        <v>0</v>
      </c>
      <c r="P149" s="204">
        <f t="shared" ref="P149:P211" si="59">+G149*O149</f>
        <v>0</v>
      </c>
      <c r="Q149" s="204">
        <v>0</v>
      </c>
      <c r="R149" s="205">
        <f t="shared" ref="R149:R211" si="60">+N149-Q149</f>
        <v>-2.7819390759474826E-4</v>
      </c>
    </row>
    <row r="150" spans="1:19" x14ac:dyDescent="0.2">
      <c r="A150" s="162">
        <v>11</v>
      </c>
      <c r="B150" s="197">
        <f t="shared" si="54"/>
        <v>44866</v>
      </c>
      <c r="C150" s="217">
        <f t="shared" si="50"/>
        <v>44900</v>
      </c>
      <c r="D150" s="217">
        <f t="shared" si="50"/>
        <v>44918</v>
      </c>
      <c r="E150" s="54" t="s">
        <v>16</v>
      </c>
      <c r="F150" s="162">
        <v>9</v>
      </c>
      <c r="G150" s="199">
        <v>1</v>
      </c>
      <c r="H150" s="200">
        <f t="shared" si="51"/>
        <v>5.6216525614293303E-4</v>
      </c>
      <c r="I150" s="200">
        <f t="shared" si="53"/>
        <v>4.2858466888302956E-4</v>
      </c>
      <c r="J150" s="201">
        <f t="shared" si="55"/>
        <v>4.2858466888302956E-4</v>
      </c>
      <c r="K150" s="208">
        <f t="shared" si="49"/>
        <v>5.6216525614293303E-4</v>
      </c>
      <c r="L150" s="207">
        <f t="shared" si="52"/>
        <v>-1.3358058725990347E-4</v>
      </c>
      <c r="M150" s="204">
        <f t="shared" si="56"/>
        <v>-5.5163665374706677E-6</v>
      </c>
      <c r="N150" s="205">
        <f t="shared" si="57"/>
        <v>-1.3909695379737413E-4</v>
      </c>
      <c r="O150" s="204">
        <f t="shared" si="58"/>
        <v>0</v>
      </c>
      <c r="P150" s="204">
        <f t="shared" si="59"/>
        <v>0</v>
      </c>
      <c r="Q150" s="204">
        <v>0</v>
      </c>
      <c r="R150" s="205">
        <f t="shared" si="60"/>
        <v>-1.3909695379737413E-4</v>
      </c>
    </row>
    <row r="151" spans="1:19" s="221" customFormat="1" x14ac:dyDescent="0.2">
      <c r="A151" s="162">
        <v>12</v>
      </c>
      <c r="B151" s="219">
        <f t="shared" si="54"/>
        <v>44896</v>
      </c>
      <c r="C151" s="217">
        <f t="shared" si="50"/>
        <v>44930</v>
      </c>
      <c r="D151" s="217">
        <f t="shared" si="50"/>
        <v>44950</v>
      </c>
      <c r="E151" s="220" t="s">
        <v>16</v>
      </c>
      <c r="F151" s="173">
        <v>9</v>
      </c>
      <c r="G151" s="199">
        <v>4</v>
      </c>
      <c r="H151" s="209">
        <f t="shared" si="51"/>
        <v>5.6216525614293303E-4</v>
      </c>
      <c r="I151" s="209">
        <f t="shared" si="53"/>
        <v>4.2858466888302956E-4</v>
      </c>
      <c r="J151" s="210">
        <f t="shared" si="55"/>
        <v>1.7143386755321182E-3</v>
      </c>
      <c r="K151" s="211">
        <f t="shared" si="49"/>
        <v>2.2486610245717321E-3</v>
      </c>
      <c r="L151" s="212">
        <f t="shared" si="52"/>
        <v>-5.3432234903961389E-4</v>
      </c>
      <c r="M151" s="204">
        <f t="shared" si="56"/>
        <v>-2.2065466149882671E-5</v>
      </c>
      <c r="N151" s="205">
        <f t="shared" si="57"/>
        <v>-5.5638781518949651E-4</v>
      </c>
      <c r="O151" s="204">
        <f t="shared" si="58"/>
        <v>0</v>
      </c>
      <c r="P151" s="204">
        <f t="shared" si="59"/>
        <v>0</v>
      </c>
      <c r="Q151" s="204">
        <v>0</v>
      </c>
      <c r="R151" s="205">
        <f t="shared" si="60"/>
        <v>-5.5638781518949651E-4</v>
      </c>
    </row>
    <row r="152" spans="1:19" x14ac:dyDescent="0.2">
      <c r="A152" s="125">
        <v>1</v>
      </c>
      <c r="B152" s="197">
        <f t="shared" si="54"/>
        <v>44562</v>
      </c>
      <c r="C152" s="214">
        <f t="shared" ref="C152:D171" si="61">+C140</f>
        <v>44595</v>
      </c>
      <c r="D152" s="214">
        <f t="shared" si="61"/>
        <v>44615</v>
      </c>
      <c r="E152" s="224" t="s">
        <v>55</v>
      </c>
      <c r="F152" s="125">
        <v>9</v>
      </c>
      <c r="G152" s="199">
        <v>121</v>
      </c>
      <c r="H152" s="200">
        <f>+$K$3</f>
        <v>5.6216525614293303E-4</v>
      </c>
      <c r="I152" s="200">
        <f t="shared" si="53"/>
        <v>4.2858466888302956E-4</v>
      </c>
      <c r="J152" s="201">
        <f t="shared" si="55"/>
        <v>5.1858744934846573E-2</v>
      </c>
      <c r="K152" s="202">
        <f t="shared" si="49"/>
        <v>6.8021995993294893E-2</v>
      </c>
      <c r="L152" s="203">
        <f t="shared" si="52"/>
        <v>-1.6163251058448319E-2</v>
      </c>
      <c r="M152" s="204">
        <f t="shared" si="56"/>
        <v>-6.6748035103395074E-4</v>
      </c>
      <c r="N152" s="205">
        <f t="shared" si="57"/>
        <v>-1.6830731409482269E-2</v>
      </c>
      <c r="O152" s="204">
        <f t="shared" si="58"/>
        <v>0</v>
      </c>
      <c r="P152" s="204">
        <f t="shared" si="59"/>
        <v>0</v>
      </c>
      <c r="Q152" s="204">
        <v>0</v>
      </c>
      <c r="R152" s="205">
        <f t="shared" si="60"/>
        <v>-1.6830731409482269E-2</v>
      </c>
    </row>
    <row r="153" spans="1:19" x14ac:dyDescent="0.2">
      <c r="A153" s="162">
        <v>2</v>
      </c>
      <c r="B153" s="197">
        <f t="shared" si="54"/>
        <v>44593</v>
      </c>
      <c r="C153" s="217">
        <f t="shared" si="61"/>
        <v>44623</v>
      </c>
      <c r="D153" s="217">
        <f t="shared" si="61"/>
        <v>44642</v>
      </c>
      <c r="E153" s="225" t="s">
        <v>55</v>
      </c>
      <c r="F153" s="162">
        <v>9</v>
      </c>
      <c r="G153" s="199">
        <v>109</v>
      </c>
      <c r="H153" s="200">
        <f t="shared" ref="H153:H163" si="62">+$K$3</f>
        <v>5.6216525614293303E-4</v>
      </c>
      <c r="I153" s="200">
        <f t="shared" si="53"/>
        <v>4.2858466888302956E-4</v>
      </c>
      <c r="J153" s="201">
        <f t="shared" si="55"/>
        <v>4.6715728908250223E-2</v>
      </c>
      <c r="K153" s="202">
        <f t="shared" si="49"/>
        <v>6.1276012919579702E-2</v>
      </c>
      <c r="L153" s="203">
        <f t="shared" si="52"/>
        <v>-1.4560284011329479E-2</v>
      </c>
      <c r="M153" s="204">
        <f t="shared" si="56"/>
        <v>-6.0128395258430276E-4</v>
      </c>
      <c r="N153" s="205">
        <f t="shared" si="57"/>
        <v>-1.5161567963913781E-2</v>
      </c>
      <c r="O153" s="204">
        <f t="shared" si="58"/>
        <v>0</v>
      </c>
      <c r="P153" s="204">
        <f t="shared" si="59"/>
        <v>0</v>
      </c>
      <c r="Q153" s="204">
        <v>0</v>
      </c>
      <c r="R153" s="205">
        <f t="shared" si="60"/>
        <v>-1.5161567963913781E-2</v>
      </c>
    </row>
    <row r="154" spans="1:19" x14ac:dyDescent="0.2">
      <c r="A154" s="162">
        <v>3</v>
      </c>
      <c r="B154" s="197">
        <f t="shared" si="54"/>
        <v>44621</v>
      </c>
      <c r="C154" s="217">
        <f t="shared" si="61"/>
        <v>44656</v>
      </c>
      <c r="D154" s="217">
        <f t="shared" si="61"/>
        <v>44676</v>
      </c>
      <c r="E154" s="225" t="s">
        <v>55</v>
      </c>
      <c r="F154" s="162">
        <v>9</v>
      </c>
      <c r="G154" s="199">
        <v>95</v>
      </c>
      <c r="H154" s="200">
        <f t="shared" si="62"/>
        <v>5.6216525614293303E-4</v>
      </c>
      <c r="I154" s="200">
        <f t="shared" si="53"/>
        <v>4.2858466888302956E-4</v>
      </c>
      <c r="J154" s="201">
        <f t="shared" si="55"/>
        <v>4.071554354388781E-2</v>
      </c>
      <c r="K154" s="202">
        <f t="shared" si="49"/>
        <v>5.3405699333578638E-2</v>
      </c>
      <c r="L154" s="203">
        <f>+J154-K154</f>
        <v>-1.2690155789690828E-2</v>
      </c>
      <c r="M154" s="204">
        <f t="shared" si="56"/>
        <v>-5.2405482105971342E-4</v>
      </c>
      <c r="N154" s="205">
        <f t="shared" si="57"/>
        <v>-1.3214210610750541E-2</v>
      </c>
      <c r="O154" s="204">
        <f t="shared" si="58"/>
        <v>0</v>
      </c>
      <c r="P154" s="204">
        <f t="shared" si="59"/>
        <v>0</v>
      </c>
      <c r="Q154" s="204">
        <v>0</v>
      </c>
      <c r="R154" s="205">
        <f t="shared" si="60"/>
        <v>-1.3214210610750541E-2</v>
      </c>
    </row>
    <row r="155" spans="1:19" x14ac:dyDescent="0.2">
      <c r="A155" s="125">
        <v>4</v>
      </c>
      <c r="B155" s="197">
        <f t="shared" si="54"/>
        <v>44652</v>
      </c>
      <c r="C155" s="217">
        <f t="shared" si="61"/>
        <v>44685</v>
      </c>
      <c r="D155" s="217">
        <f t="shared" si="61"/>
        <v>44705</v>
      </c>
      <c r="E155" s="225" t="s">
        <v>55</v>
      </c>
      <c r="F155" s="162">
        <v>9</v>
      </c>
      <c r="G155" s="199">
        <v>93</v>
      </c>
      <c r="H155" s="200">
        <f t="shared" si="62"/>
        <v>5.6216525614293303E-4</v>
      </c>
      <c r="I155" s="200">
        <f t="shared" si="53"/>
        <v>4.2858466888302956E-4</v>
      </c>
      <c r="J155" s="201">
        <f t="shared" si="55"/>
        <v>3.9858374206121747E-2</v>
      </c>
      <c r="K155" s="202">
        <f t="shared" si="49"/>
        <v>5.2281368821292772E-2</v>
      </c>
      <c r="L155" s="203">
        <f t="shared" ref="L155:L165" si="63">+J155-K155</f>
        <v>-1.2422994615171025E-2</v>
      </c>
      <c r="M155" s="204">
        <f t="shared" si="56"/>
        <v>-5.1302208798477205E-4</v>
      </c>
      <c r="N155" s="205">
        <f t="shared" si="57"/>
        <v>-1.2936016703155797E-2</v>
      </c>
      <c r="O155" s="204">
        <f t="shared" si="58"/>
        <v>0</v>
      </c>
      <c r="P155" s="204">
        <f t="shared" si="59"/>
        <v>0</v>
      </c>
      <c r="Q155" s="204">
        <v>0</v>
      </c>
      <c r="R155" s="205">
        <f t="shared" si="60"/>
        <v>-1.2936016703155797E-2</v>
      </c>
    </row>
    <row r="156" spans="1:19" x14ac:dyDescent="0.2">
      <c r="A156" s="162">
        <v>5</v>
      </c>
      <c r="B156" s="197">
        <f t="shared" si="54"/>
        <v>44682</v>
      </c>
      <c r="C156" s="217">
        <f t="shared" si="61"/>
        <v>44715</v>
      </c>
      <c r="D156" s="217">
        <f t="shared" si="61"/>
        <v>44735</v>
      </c>
      <c r="E156" s="225" t="s">
        <v>55</v>
      </c>
      <c r="F156" s="162">
        <v>9</v>
      </c>
      <c r="G156" s="199">
        <v>125</v>
      </c>
      <c r="H156" s="200">
        <f t="shared" si="62"/>
        <v>5.6216525614293303E-4</v>
      </c>
      <c r="I156" s="200">
        <f t="shared" si="53"/>
        <v>4.2858466888302956E-4</v>
      </c>
      <c r="J156" s="201">
        <f t="shared" si="55"/>
        <v>5.3573083610378693E-2</v>
      </c>
      <c r="K156" s="202">
        <f t="shared" si="49"/>
        <v>7.0270657017866625E-2</v>
      </c>
      <c r="L156" s="203">
        <f t="shared" si="63"/>
        <v>-1.6697573407487933E-2</v>
      </c>
      <c r="M156" s="204">
        <f t="shared" si="56"/>
        <v>-6.8954581718383336E-4</v>
      </c>
      <c r="N156" s="205">
        <f t="shared" si="57"/>
        <v>-1.7387119224671767E-2</v>
      </c>
      <c r="O156" s="204">
        <f t="shared" si="58"/>
        <v>0</v>
      </c>
      <c r="P156" s="204">
        <f t="shared" si="59"/>
        <v>0</v>
      </c>
      <c r="Q156" s="204">
        <v>0</v>
      </c>
      <c r="R156" s="205">
        <f t="shared" si="60"/>
        <v>-1.7387119224671767E-2</v>
      </c>
    </row>
    <row r="157" spans="1:19" x14ac:dyDescent="0.2">
      <c r="A157" s="162">
        <v>6</v>
      </c>
      <c r="B157" s="197">
        <f t="shared" si="54"/>
        <v>44713</v>
      </c>
      <c r="C157" s="217">
        <f t="shared" si="61"/>
        <v>44747</v>
      </c>
      <c r="D157" s="217">
        <f t="shared" si="61"/>
        <v>44767</v>
      </c>
      <c r="E157" s="225" t="s">
        <v>55</v>
      </c>
      <c r="F157" s="162">
        <v>9</v>
      </c>
      <c r="G157" s="199">
        <v>159</v>
      </c>
      <c r="H157" s="200">
        <f t="shared" si="62"/>
        <v>5.6216525614293303E-4</v>
      </c>
      <c r="I157" s="200">
        <f t="shared" si="53"/>
        <v>4.2858466888302956E-4</v>
      </c>
      <c r="J157" s="201">
        <f t="shared" si="55"/>
        <v>6.8144962352401695E-2</v>
      </c>
      <c r="K157" s="202">
        <f t="shared" si="49"/>
        <v>8.9384275726726359E-2</v>
      </c>
      <c r="L157" s="207">
        <f t="shared" si="63"/>
        <v>-2.1239313374324664E-2</v>
      </c>
      <c r="M157" s="204">
        <f t="shared" si="56"/>
        <v>-8.7710227945783615E-4</v>
      </c>
      <c r="N157" s="205">
        <f t="shared" si="57"/>
        <v>-2.2116415653782501E-2</v>
      </c>
      <c r="O157" s="204">
        <f t="shared" si="58"/>
        <v>0</v>
      </c>
      <c r="P157" s="204">
        <f t="shared" si="59"/>
        <v>0</v>
      </c>
      <c r="Q157" s="204">
        <v>0</v>
      </c>
      <c r="R157" s="205">
        <f t="shared" si="60"/>
        <v>-2.2116415653782501E-2</v>
      </c>
    </row>
    <row r="158" spans="1:19" x14ac:dyDescent="0.2">
      <c r="A158" s="125">
        <v>7</v>
      </c>
      <c r="B158" s="197">
        <f t="shared" si="54"/>
        <v>44743</v>
      </c>
      <c r="C158" s="217">
        <f t="shared" si="61"/>
        <v>44776</v>
      </c>
      <c r="D158" s="217">
        <f t="shared" si="61"/>
        <v>44796</v>
      </c>
      <c r="E158" s="225" t="s">
        <v>55</v>
      </c>
      <c r="F158" s="162">
        <v>9</v>
      </c>
      <c r="G158" s="199">
        <v>176</v>
      </c>
      <c r="H158" s="200">
        <f t="shared" si="62"/>
        <v>5.6216525614293303E-4</v>
      </c>
      <c r="I158" s="200">
        <f t="shared" si="53"/>
        <v>4.2858466888302956E-4</v>
      </c>
      <c r="J158" s="201">
        <f t="shared" si="55"/>
        <v>7.5430901723413199E-2</v>
      </c>
      <c r="K158" s="208">
        <f t="shared" si="49"/>
        <v>9.8941085081156219E-2</v>
      </c>
      <c r="L158" s="207">
        <f t="shared" si="63"/>
        <v>-2.351018335774302E-2</v>
      </c>
      <c r="M158" s="204">
        <f t="shared" si="56"/>
        <v>-9.7088051059483749E-4</v>
      </c>
      <c r="N158" s="205">
        <f t="shared" si="57"/>
        <v>-2.4481063868337857E-2</v>
      </c>
      <c r="O158" s="204">
        <f t="shared" si="58"/>
        <v>0</v>
      </c>
      <c r="P158" s="204">
        <f t="shared" si="59"/>
        <v>0</v>
      </c>
      <c r="Q158" s="204">
        <v>0</v>
      </c>
      <c r="R158" s="205">
        <f t="shared" si="60"/>
        <v>-2.4481063868337857E-2</v>
      </c>
    </row>
    <row r="159" spans="1:19" x14ac:dyDescent="0.2">
      <c r="A159" s="162">
        <v>8</v>
      </c>
      <c r="B159" s="197">
        <f t="shared" si="54"/>
        <v>44774</v>
      </c>
      <c r="C159" s="217">
        <f t="shared" si="61"/>
        <v>44809</v>
      </c>
      <c r="D159" s="217">
        <f t="shared" si="61"/>
        <v>44827</v>
      </c>
      <c r="E159" s="225" t="s">
        <v>55</v>
      </c>
      <c r="F159" s="125">
        <v>9</v>
      </c>
      <c r="G159" s="199">
        <v>167</v>
      </c>
      <c r="H159" s="200">
        <f t="shared" si="62"/>
        <v>5.6216525614293303E-4</v>
      </c>
      <c r="I159" s="200">
        <f t="shared" si="53"/>
        <v>4.2858466888302956E-4</v>
      </c>
      <c r="J159" s="201">
        <f t="shared" si="55"/>
        <v>7.1573639703465933E-2</v>
      </c>
      <c r="K159" s="208">
        <f t="shared" si="49"/>
        <v>9.388159777586981E-2</v>
      </c>
      <c r="L159" s="207">
        <f t="shared" si="63"/>
        <v>-2.2307958072403877E-2</v>
      </c>
      <c r="M159" s="204">
        <f t="shared" si="56"/>
        <v>-9.2123321175760151E-4</v>
      </c>
      <c r="N159" s="205">
        <f t="shared" si="57"/>
        <v>-2.3229191284161479E-2</v>
      </c>
      <c r="O159" s="204">
        <f t="shared" si="58"/>
        <v>0</v>
      </c>
      <c r="P159" s="204">
        <f t="shared" si="59"/>
        <v>0</v>
      </c>
      <c r="Q159" s="204">
        <v>0</v>
      </c>
      <c r="R159" s="205">
        <f t="shared" si="60"/>
        <v>-2.3229191284161479E-2</v>
      </c>
      <c r="S159" s="52"/>
    </row>
    <row r="160" spans="1:19" x14ac:dyDescent="0.2">
      <c r="A160" s="162">
        <v>9</v>
      </c>
      <c r="B160" s="197">
        <f t="shared" si="54"/>
        <v>44805</v>
      </c>
      <c r="C160" s="217">
        <f t="shared" si="61"/>
        <v>44839</v>
      </c>
      <c r="D160" s="217">
        <f t="shared" si="61"/>
        <v>44859</v>
      </c>
      <c r="E160" s="225" t="s">
        <v>55</v>
      </c>
      <c r="F160" s="125">
        <v>9</v>
      </c>
      <c r="G160" s="199">
        <v>153</v>
      </c>
      <c r="H160" s="200">
        <f t="shared" si="62"/>
        <v>5.6216525614293303E-4</v>
      </c>
      <c r="I160" s="200">
        <f t="shared" si="53"/>
        <v>4.2858466888302956E-4</v>
      </c>
      <c r="J160" s="201">
        <f t="shared" si="55"/>
        <v>6.5573454339103526E-2</v>
      </c>
      <c r="K160" s="208">
        <f t="shared" si="49"/>
        <v>8.6011284189868753E-2</v>
      </c>
      <c r="L160" s="207">
        <f t="shared" si="63"/>
        <v>-2.0437829850765227E-2</v>
      </c>
      <c r="M160" s="204">
        <f t="shared" si="56"/>
        <v>-8.4400408023301205E-4</v>
      </c>
      <c r="N160" s="205">
        <f t="shared" si="57"/>
        <v>-2.128183393099824E-2</v>
      </c>
      <c r="O160" s="204">
        <f t="shared" si="58"/>
        <v>0</v>
      </c>
      <c r="P160" s="204">
        <f t="shared" si="59"/>
        <v>0</v>
      </c>
      <c r="Q160" s="204">
        <v>0</v>
      </c>
      <c r="R160" s="205">
        <f t="shared" si="60"/>
        <v>-2.128183393099824E-2</v>
      </c>
    </row>
    <row r="161" spans="1:19" x14ac:dyDescent="0.2">
      <c r="A161" s="125">
        <v>10</v>
      </c>
      <c r="B161" s="197">
        <f t="shared" si="54"/>
        <v>44835</v>
      </c>
      <c r="C161" s="217">
        <f t="shared" si="61"/>
        <v>44868</v>
      </c>
      <c r="D161" s="217">
        <f t="shared" si="61"/>
        <v>44888</v>
      </c>
      <c r="E161" s="225" t="s">
        <v>55</v>
      </c>
      <c r="F161" s="125">
        <v>9</v>
      </c>
      <c r="G161" s="199">
        <v>104</v>
      </c>
      <c r="H161" s="200">
        <f t="shared" si="62"/>
        <v>5.6216525614293303E-4</v>
      </c>
      <c r="I161" s="200">
        <f t="shared" si="53"/>
        <v>4.2858466888302956E-4</v>
      </c>
      <c r="J161" s="201">
        <f t="shared" si="55"/>
        <v>4.4572805563835076E-2</v>
      </c>
      <c r="K161" s="208">
        <f t="shared" si="49"/>
        <v>5.8465186638865033E-2</v>
      </c>
      <c r="L161" s="207">
        <f t="shared" si="63"/>
        <v>-1.3892381075029957E-2</v>
      </c>
      <c r="M161" s="204">
        <f t="shared" si="56"/>
        <v>-5.737021198969494E-4</v>
      </c>
      <c r="N161" s="205">
        <f t="shared" si="57"/>
        <v>-1.4466083194926906E-2</v>
      </c>
      <c r="O161" s="204">
        <f t="shared" si="58"/>
        <v>0</v>
      </c>
      <c r="P161" s="204">
        <f t="shared" si="59"/>
        <v>0</v>
      </c>
      <c r="Q161" s="204">
        <v>0</v>
      </c>
      <c r="R161" s="205">
        <f t="shared" si="60"/>
        <v>-1.4466083194926906E-2</v>
      </c>
    </row>
    <row r="162" spans="1:19" x14ac:dyDescent="0.2">
      <c r="A162" s="162">
        <v>11</v>
      </c>
      <c r="B162" s="197">
        <f t="shared" si="54"/>
        <v>44866</v>
      </c>
      <c r="C162" s="217">
        <f t="shared" si="61"/>
        <v>44900</v>
      </c>
      <c r="D162" s="217">
        <f t="shared" si="61"/>
        <v>44918</v>
      </c>
      <c r="E162" s="225" t="s">
        <v>55</v>
      </c>
      <c r="F162" s="125">
        <v>9</v>
      </c>
      <c r="G162" s="199">
        <v>104</v>
      </c>
      <c r="H162" s="200">
        <f t="shared" si="62"/>
        <v>5.6216525614293303E-4</v>
      </c>
      <c r="I162" s="200">
        <f t="shared" si="53"/>
        <v>4.2858466888302956E-4</v>
      </c>
      <c r="J162" s="201">
        <f t="shared" si="55"/>
        <v>4.4572805563835076E-2</v>
      </c>
      <c r="K162" s="208">
        <f t="shared" si="49"/>
        <v>5.8465186638865033E-2</v>
      </c>
      <c r="L162" s="207">
        <f t="shared" si="63"/>
        <v>-1.3892381075029957E-2</v>
      </c>
      <c r="M162" s="204">
        <f t="shared" si="56"/>
        <v>-5.737021198969494E-4</v>
      </c>
      <c r="N162" s="205">
        <f t="shared" si="57"/>
        <v>-1.4466083194926906E-2</v>
      </c>
      <c r="O162" s="204">
        <f t="shared" si="58"/>
        <v>0</v>
      </c>
      <c r="P162" s="204">
        <f t="shared" si="59"/>
        <v>0</v>
      </c>
      <c r="Q162" s="204">
        <v>0</v>
      </c>
      <c r="R162" s="205">
        <f t="shared" si="60"/>
        <v>-1.4466083194926906E-2</v>
      </c>
    </row>
    <row r="163" spans="1:19" s="221" customFormat="1" x14ac:dyDescent="0.2">
      <c r="A163" s="162">
        <v>12</v>
      </c>
      <c r="B163" s="219">
        <f t="shared" si="54"/>
        <v>44896</v>
      </c>
      <c r="C163" s="217">
        <f t="shared" si="61"/>
        <v>44930</v>
      </c>
      <c r="D163" s="217">
        <f t="shared" si="61"/>
        <v>44950</v>
      </c>
      <c r="E163" s="226" t="s">
        <v>55</v>
      </c>
      <c r="F163" s="173">
        <v>9</v>
      </c>
      <c r="G163" s="199">
        <v>139</v>
      </c>
      <c r="H163" s="209">
        <f t="shared" si="62"/>
        <v>5.6216525614293303E-4</v>
      </c>
      <c r="I163" s="209">
        <f t="shared" si="53"/>
        <v>4.2858466888302956E-4</v>
      </c>
      <c r="J163" s="210">
        <f t="shared" si="55"/>
        <v>5.9573268974741106E-2</v>
      </c>
      <c r="K163" s="211">
        <f t="shared" si="49"/>
        <v>7.8140970603867696E-2</v>
      </c>
      <c r="L163" s="212">
        <f t="shared" si="63"/>
        <v>-1.856770162912659E-2</v>
      </c>
      <c r="M163" s="204">
        <f t="shared" si="56"/>
        <v>-7.6677494870842282E-4</v>
      </c>
      <c r="N163" s="205">
        <f t="shared" si="57"/>
        <v>-1.9334476577835012E-2</v>
      </c>
      <c r="O163" s="204">
        <f t="shared" si="58"/>
        <v>0</v>
      </c>
      <c r="P163" s="204">
        <f t="shared" si="59"/>
        <v>0</v>
      </c>
      <c r="Q163" s="204">
        <v>0</v>
      </c>
      <c r="R163" s="205">
        <f t="shared" si="60"/>
        <v>-1.9334476577835012E-2</v>
      </c>
    </row>
    <row r="164" spans="1:19" x14ac:dyDescent="0.2">
      <c r="A164" s="125">
        <v>1</v>
      </c>
      <c r="B164" s="197">
        <f t="shared" si="54"/>
        <v>44562</v>
      </c>
      <c r="C164" s="214">
        <f t="shared" si="61"/>
        <v>44595</v>
      </c>
      <c r="D164" s="214">
        <f t="shared" si="61"/>
        <v>44615</v>
      </c>
      <c r="E164" s="224" t="s">
        <v>56</v>
      </c>
      <c r="F164" s="125">
        <v>9</v>
      </c>
      <c r="G164" s="199">
        <v>8</v>
      </c>
      <c r="H164" s="200">
        <f>+$K$3</f>
        <v>5.6216525614293303E-4</v>
      </c>
      <c r="I164" s="200">
        <f t="shared" si="53"/>
        <v>4.2858466888302956E-4</v>
      </c>
      <c r="J164" s="201">
        <f t="shared" si="55"/>
        <v>3.4286773510642365E-3</v>
      </c>
      <c r="K164" s="202">
        <f t="shared" si="49"/>
        <v>4.4973220491434642E-3</v>
      </c>
      <c r="L164" s="203">
        <f t="shared" si="63"/>
        <v>-1.0686446980792278E-3</v>
      </c>
      <c r="M164" s="204">
        <f t="shared" si="56"/>
        <v>-4.4130932299765342E-5</v>
      </c>
      <c r="N164" s="205">
        <f t="shared" si="57"/>
        <v>-1.112775630378993E-3</v>
      </c>
      <c r="O164" s="204">
        <f t="shared" si="58"/>
        <v>0</v>
      </c>
      <c r="P164" s="204">
        <f t="shared" si="59"/>
        <v>0</v>
      </c>
      <c r="Q164" s="204">
        <v>0</v>
      </c>
      <c r="R164" s="205">
        <f t="shared" si="60"/>
        <v>-1.112775630378993E-3</v>
      </c>
    </row>
    <row r="165" spans="1:19" x14ac:dyDescent="0.2">
      <c r="A165" s="162">
        <v>2</v>
      </c>
      <c r="B165" s="197">
        <f t="shared" si="54"/>
        <v>44593</v>
      </c>
      <c r="C165" s="217">
        <f t="shared" si="61"/>
        <v>44623</v>
      </c>
      <c r="D165" s="217">
        <f t="shared" si="61"/>
        <v>44642</v>
      </c>
      <c r="E165" s="225" t="s">
        <v>56</v>
      </c>
      <c r="F165" s="162">
        <v>9</v>
      </c>
      <c r="G165" s="199">
        <v>11</v>
      </c>
      <c r="H165" s="200">
        <f t="shared" ref="H165:H175" si="64">+$K$3</f>
        <v>5.6216525614293303E-4</v>
      </c>
      <c r="I165" s="200">
        <f t="shared" si="53"/>
        <v>4.2858466888302956E-4</v>
      </c>
      <c r="J165" s="201">
        <f t="shared" si="55"/>
        <v>4.7144313577133249E-3</v>
      </c>
      <c r="K165" s="202">
        <f t="shared" si="49"/>
        <v>6.1838178175722637E-3</v>
      </c>
      <c r="L165" s="203">
        <f t="shared" si="63"/>
        <v>-1.4693864598589387E-3</v>
      </c>
      <c r="M165" s="204">
        <f t="shared" si="56"/>
        <v>-6.0680031912177343E-5</v>
      </c>
      <c r="N165" s="205">
        <f t="shared" si="57"/>
        <v>-1.5300664917711161E-3</v>
      </c>
      <c r="O165" s="204">
        <f t="shared" si="58"/>
        <v>0</v>
      </c>
      <c r="P165" s="204">
        <f t="shared" si="59"/>
        <v>0</v>
      </c>
      <c r="Q165" s="204">
        <v>0</v>
      </c>
      <c r="R165" s="205">
        <f t="shared" si="60"/>
        <v>-1.5300664917711161E-3</v>
      </c>
    </row>
    <row r="166" spans="1:19" x14ac:dyDescent="0.2">
      <c r="A166" s="162">
        <v>3</v>
      </c>
      <c r="B166" s="197">
        <f t="shared" si="54"/>
        <v>44621</v>
      </c>
      <c r="C166" s="217">
        <f t="shared" si="61"/>
        <v>44656</v>
      </c>
      <c r="D166" s="217">
        <f t="shared" si="61"/>
        <v>44676</v>
      </c>
      <c r="E166" s="225" t="s">
        <v>56</v>
      </c>
      <c r="F166" s="162">
        <v>9</v>
      </c>
      <c r="G166" s="199">
        <v>9</v>
      </c>
      <c r="H166" s="200">
        <f t="shared" si="64"/>
        <v>5.6216525614293303E-4</v>
      </c>
      <c r="I166" s="200">
        <f t="shared" si="53"/>
        <v>4.2858466888302956E-4</v>
      </c>
      <c r="J166" s="201">
        <f t="shared" si="55"/>
        <v>3.8572620199472663E-3</v>
      </c>
      <c r="K166" s="202">
        <f t="shared" si="49"/>
        <v>5.0594873052863974E-3</v>
      </c>
      <c r="L166" s="203">
        <f>+J166-K166</f>
        <v>-1.2022252853391311E-3</v>
      </c>
      <c r="M166" s="204">
        <f t="shared" si="56"/>
        <v>-4.9647298837236011E-5</v>
      </c>
      <c r="N166" s="205">
        <f t="shared" si="57"/>
        <v>-1.2518725841763672E-3</v>
      </c>
      <c r="O166" s="204">
        <f t="shared" si="58"/>
        <v>0</v>
      </c>
      <c r="P166" s="204">
        <f t="shared" si="59"/>
        <v>0</v>
      </c>
      <c r="Q166" s="204">
        <v>0</v>
      </c>
      <c r="R166" s="205">
        <f t="shared" si="60"/>
        <v>-1.2518725841763672E-3</v>
      </c>
    </row>
    <row r="167" spans="1:19" x14ac:dyDescent="0.2">
      <c r="A167" s="125">
        <v>4</v>
      </c>
      <c r="B167" s="197">
        <f t="shared" si="54"/>
        <v>44652</v>
      </c>
      <c r="C167" s="217">
        <f t="shared" si="61"/>
        <v>44685</v>
      </c>
      <c r="D167" s="217">
        <f t="shared" si="61"/>
        <v>44705</v>
      </c>
      <c r="E167" s="225" t="s">
        <v>56</v>
      </c>
      <c r="F167" s="162">
        <v>9</v>
      </c>
      <c r="G167" s="199">
        <v>11</v>
      </c>
      <c r="H167" s="200">
        <f t="shared" si="64"/>
        <v>5.6216525614293303E-4</v>
      </c>
      <c r="I167" s="200">
        <f t="shared" si="53"/>
        <v>4.2858466888302956E-4</v>
      </c>
      <c r="J167" s="201">
        <f t="shared" si="55"/>
        <v>4.7144313577133249E-3</v>
      </c>
      <c r="K167" s="202">
        <f t="shared" si="49"/>
        <v>6.1838178175722637E-3</v>
      </c>
      <c r="L167" s="203">
        <f t="shared" ref="L167:L177" si="65">+J167-K167</f>
        <v>-1.4693864598589387E-3</v>
      </c>
      <c r="M167" s="204">
        <f t="shared" si="56"/>
        <v>-6.0680031912177343E-5</v>
      </c>
      <c r="N167" s="205">
        <f t="shared" si="57"/>
        <v>-1.5300664917711161E-3</v>
      </c>
      <c r="O167" s="204">
        <f t="shared" si="58"/>
        <v>0</v>
      </c>
      <c r="P167" s="204">
        <f t="shared" si="59"/>
        <v>0</v>
      </c>
      <c r="Q167" s="204">
        <v>0</v>
      </c>
      <c r="R167" s="205">
        <f t="shared" si="60"/>
        <v>-1.5300664917711161E-3</v>
      </c>
    </row>
    <row r="168" spans="1:19" x14ac:dyDescent="0.2">
      <c r="A168" s="162">
        <v>5</v>
      </c>
      <c r="B168" s="197">
        <f t="shared" si="54"/>
        <v>44682</v>
      </c>
      <c r="C168" s="217">
        <f t="shared" si="61"/>
        <v>44715</v>
      </c>
      <c r="D168" s="217">
        <f t="shared" si="61"/>
        <v>44735</v>
      </c>
      <c r="E168" s="225" t="s">
        <v>56</v>
      </c>
      <c r="F168" s="162">
        <v>9</v>
      </c>
      <c r="G168" s="199">
        <v>11</v>
      </c>
      <c r="H168" s="200">
        <f t="shared" si="64"/>
        <v>5.6216525614293303E-4</v>
      </c>
      <c r="I168" s="200">
        <f t="shared" si="53"/>
        <v>4.2858466888302956E-4</v>
      </c>
      <c r="J168" s="201">
        <f t="shared" si="55"/>
        <v>4.7144313577133249E-3</v>
      </c>
      <c r="K168" s="202">
        <f t="shared" si="49"/>
        <v>6.1838178175722637E-3</v>
      </c>
      <c r="L168" s="203">
        <f t="shared" si="65"/>
        <v>-1.4693864598589387E-3</v>
      </c>
      <c r="M168" s="204">
        <f t="shared" si="56"/>
        <v>-6.0680031912177343E-5</v>
      </c>
      <c r="N168" s="205">
        <f t="shared" si="57"/>
        <v>-1.5300664917711161E-3</v>
      </c>
      <c r="O168" s="204">
        <f t="shared" si="58"/>
        <v>0</v>
      </c>
      <c r="P168" s="204">
        <f t="shared" si="59"/>
        <v>0</v>
      </c>
      <c r="Q168" s="204">
        <v>0</v>
      </c>
      <c r="R168" s="205">
        <f t="shared" si="60"/>
        <v>-1.5300664917711161E-3</v>
      </c>
    </row>
    <row r="169" spans="1:19" x14ac:dyDescent="0.2">
      <c r="A169" s="162">
        <v>6</v>
      </c>
      <c r="B169" s="197">
        <f t="shared" si="54"/>
        <v>44713</v>
      </c>
      <c r="C169" s="217">
        <f t="shared" si="61"/>
        <v>44747</v>
      </c>
      <c r="D169" s="217">
        <f t="shared" si="61"/>
        <v>44767</v>
      </c>
      <c r="E169" s="225" t="s">
        <v>56</v>
      </c>
      <c r="F169" s="162">
        <v>9</v>
      </c>
      <c r="G169" s="199">
        <v>14</v>
      </c>
      <c r="H169" s="200">
        <f t="shared" si="64"/>
        <v>5.6216525614293303E-4</v>
      </c>
      <c r="I169" s="200">
        <f t="shared" si="53"/>
        <v>4.2858466888302956E-4</v>
      </c>
      <c r="J169" s="201">
        <f t="shared" si="55"/>
        <v>6.0001853643624134E-3</v>
      </c>
      <c r="K169" s="202">
        <f t="shared" si="49"/>
        <v>7.8703135860010622E-3</v>
      </c>
      <c r="L169" s="207">
        <f t="shared" si="65"/>
        <v>-1.8701282216386488E-3</v>
      </c>
      <c r="M169" s="204">
        <f t="shared" si="56"/>
        <v>-7.7229131524589345E-5</v>
      </c>
      <c r="N169" s="205">
        <f t="shared" si="57"/>
        <v>-1.9473573531632381E-3</v>
      </c>
      <c r="O169" s="204">
        <f t="shared" si="58"/>
        <v>0</v>
      </c>
      <c r="P169" s="204">
        <f t="shared" si="59"/>
        <v>0</v>
      </c>
      <c r="Q169" s="204">
        <v>0</v>
      </c>
      <c r="R169" s="205">
        <f t="shared" si="60"/>
        <v>-1.9473573531632381E-3</v>
      </c>
    </row>
    <row r="170" spans="1:19" x14ac:dyDescent="0.2">
      <c r="A170" s="125">
        <v>7</v>
      </c>
      <c r="B170" s="197">
        <f t="shared" si="54"/>
        <v>44743</v>
      </c>
      <c r="C170" s="217">
        <f t="shared" si="61"/>
        <v>44776</v>
      </c>
      <c r="D170" s="217">
        <f t="shared" si="61"/>
        <v>44796</v>
      </c>
      <c r="E170" s="225" t="s">
        <v>56</v>
      </c>
      <c r="F170" s="162">
        <v>9</v>
      </c>
      <c r="G170" s="199">
        <v>13</v>
      </c>
      <c r="H170" s="200">
        <f t="shared" si="64"/>
        <v>5.6216525614293303E-4</v>
      </c>
      <c r="I170" s="200">
        <f t="shared" si="53"/>
        <v>4.2858466888302956E-4</v>
      </c>
      <c r="J170" s="201">
        <f t="shared" si="55"/>
        <v>5.5716006954793845E-3</v>
      </c>
      <c r="K170" s="208">
        <f t="shared" si="49"/>
        <v>7.3081483298581291E-3</v>
      </c>
      <c r="L170" s="207">
        <f t="shared" si="65"/>
        <v>-1.7365476343787446E-3</v>
      </c>
      <c r="M170" s="204">
        <f t="shared" si="56"/>
        <v>-7.1712764987118675E-5</v>
      </c>
      <c r="N170" s="205">
        <f t="shared" si="57"/>
        <v>-1.8082603993658632E-3</v>
      </c>
      <c r="O170" s="204">
        <f t="shared" si="58"/>
        <v>0</v>
      </c>
      <c r="P170" s="204">
        <f t="shared" si="59"/>
        <v>0</v>
      </c>
      <c r="Q170" s="204">
        <v>0</v>
      </c>
      <c r="R170" s="205">
        <f t="shared" si="60"/>
        <v>-1.8082603993658632E-3</v>
      </c>
    </row>
    <row r="171" spans="1:19" x14ac:dyDescent="0.2">
      <c r="A171" s="162">
        <v>8</v>
      </c>
      <c r="B171" s="197">
        <f t="shared" si="54"/>
        <v>44774</v>
      </c>
      <c r="C171" s="217">
        <f t="shared" si="61"/>
        <v>44809</v>
      </c>
      <c r="D171" s="217">
        <f t="shared" si="61"/>
        <v>44827</v>
      </c>
      <c r="E171" s="225" t="s">
        <v>56</v>
      </c>
      <c r="F171" s="125">
        <v>9</v>
      </c>
      <c r="G171" s="199">
        <v>13</v>
      </c>
      <c r="H171" s="200">
        <f t="shared" si="64"/>
        <v>5.6216525614293303E-4</v>
      </c>
      <c r="I171" s="200">
        <f t="shared" si="53"/>
        <v>4.2858466888302956E-4</v>
      </c>
      <c r="J171" s="201">
        <f t="shared" si="55"/>
        <v>5.5716006954793845E-3</v>
      </c>
      <c r="K171" s="208">
        <f t="shared" si="49"/>
        <v>7.3081483298581291E-3</v>
      </c>
      <c r="L171" s="207">
        <f t="shared" si="65"/>
        <v>-1.7365476343787446E-3</v>
      </c>
      <c r="M171" s="204">
        <f t="shared" si="56"/>
        <v>-7.1712764987118675E-5</v>
      </c>
      <c r="N171" s="205">
        <f t="shared" si="57"/>
        <v>-1.8082603993658632E-3</v>
      </c>
      <c r="O171" s="204">
        <f t="shared" si="58"/>
        <v>0</v>
      </c>
      <c r="P171" s="204">
        <f t="shared" si="59"/>
        <v>0</v>
      </c>
      <c r="Q171" s="204">
        <v>0</v>
      </c>
      <c r="R171" s="205">
        <f t="shared" si="60"/>
        <v>-1.8082603993658632E-3</v>
      </c>
      <c r="S171" s="52"/>
    </row>
    <row r="172" spans="1:19" x14ac:dyDescent="0.2">
      <c r="A172" s="162">
        <v>9</v>
      </c>
      <c r="B172" s="197">
        <f t="shared" si="54"/>
        <v>44805</v>
      </c>
      <c r="C172" s="217">
        <f t="shared" ref="C172:D175" si="66">+C160</f>
        <v>44839</v>
      </c>
      <c r="D172" s="217">
        <f t="shared" si="66"/>
        <v>44859</v>
      </c>
      <c r="E172" s="225" t="s">
        <v>56</v>
      </c>
      <c r="F172" s="125">
        <v>9</v>
      </c>
      <c r="G172" s="199">
        <v>13</v>
      </c>
      <c r="H172" s="200">
        <f t="shared" si="64"/>
        <v>5.6216525614293303E-4</v>
      </c>
      <c r="I172" s="200">
        <f t="shared" si="53"/>
        <v>4.2858466888302956E-4</v>
      </c>
      <c r="J172" s="201">
        <f t="shared" si="55"/>
        <v>5.5716006954793845E-3</v>
      </c>
      <c r="K172" s="208">
        <f t="shared" si="49"/>
        <v>7.3081483298581291E-3</v>
      </c>
      <c r="L172" s="207">
        <f t="shared" si="65"/>
        <v>-1.7365476343787446E-3</v>
      </c>
      <c r="M172" s="204">
        <f t="shared" si="56"/>
        <v>-7.1712764987118675E-5</v>
      </c>
      <c r="N172" s="205">
        <f t="shared" si="57"/>
        <v>-1.8082603993658632E-3</v>
      </c>
      <c r="O172" s="204">
        <f t="shared" si="58"/>
        <v>0</v>
      </c>
      <c r="P172" s="204">
        <f t="shared" si="59"/>
        <v>0</v>
      </c>
      <c r="Q172" s="204">
        <v>0</v>
      </c>
      <c r="R172" s="205">
        <f t="shared" si="60"/>
        <v>-1.8082603993658632E-3</v>
      </c>
    </row>
    <row r="173" spans="1:19" x14ac:dyDescent="0.2">
      <c r="A173" s="125">
        <v>10</v>
      </c>
      <c r="B173" s="197">
        <f t="shared" si="54"/>
        <v>44835</v>
      </c>
      <c r="C173" s="217">
        <f t="shared" si="66"/>
        <v>44868</v>
      </c>
      <c r="D173" s="217">
        <f t="shared" si="66"/>
        <v>44888</v>
      </c>
      <c r="E173" s="225" t="s">
        <v>56</v>
      </c>
      <c r="F173" s="125">
        <v>9</v>
      </c>
      <c r="G173" s="199">
        <v>10</v>
      </c>
      <c r="H173" s="200">
        <f t="shared" si="64"/>
        <v>5.6216525614293303E-4</v>
      </c>
      <c r="I173" s="200">
        <f t="shared" si="53"/>
        <v>4.2858466888302956E-4</v>
      </c>
      <c r="J173" s="201">
        <f t="shared" si="55"/>
        <v>4.285846688830296E-3</v>
      </c>
      <c r="K173" s="208">
        <f t="shared" si="49"/>
        <v>5.6216525614293305E-3</v>
      </c>
      <c r="L173" s="207">
        <f t="shared" si="65"/>
        <v>-1.3358058725990345E-3</v>
      </c>
      <c r="M173" s="204">
        <f t="shared" si="56"/>
        <v>-5.5163665374706674E-5</v>
      </c>
      <c r="N173" s="205">
        <f t="shared" si="57"/>
        <v>-1.3909695379737412E-3</v>
      </c>
      <c r="O173" s="204">
        <f t="shared" si="58"/>
        <v>0</v>
      </c>
      <c r="P173" s="204">
        <f t="shared" si="59"/>
        <v>0</v>
      </c>
      <c r="Q173" s="204">
        <v>0</v>
      </c>
      <c r="R173" s="205">
        <f t="shared" si="60"/>
        <v>-1.3909695379737412E-3</v>
      </c>
    </row>
    <row r="174" spans="1:19" x14ac:dyDescent="0.2">
      <c r="A174" s="162">
        <v>11</v>
      </c>
      <c r="B174" s="197">
        <f t="shared" si="54"/>
        <v>44866</v>
      </c>
      <c r="C174" s="217">
        <f t="shared" si="66"/>
        <v>44900</v>
      </c>
      <c r="D174" s="217">
        <f t="shared" si="66"/>
        <v>44918</v>
      </c>
      <c r="E174" s="225" t="s">
        <v>56</v>
      </c>
      <c r="F174" s="125">
        <v>9</v>
      </c>
      <c r="G174" s="199">
        <v>9</v>
      </c>
      <c r="H174" s="200">
        <f t="shared" si="64"/>
        <v>5.6216525614293303E-4</v>
      </c>
      <c r="I174" s="200">
        <f t="shared" si="53"/>
        <v>4.2858466888302956E-4</v>
      </c>
      <c r="J174" s="201">
        <f t="shared" si="55"/>
        <v>3.8572620199472663E-3</v>
      </c>
      <c r="K174" s="208">
        <f t="shared" si="49"/>
        <v>5.0594873052863974E-3</v>
      </c>
      <c r="L174" s="207">
        <f t="shared" si="65"/>
        <v>-1.2022252853391311E-3</v>
      </c>
      <c r="M174" s="204">
        <f t="shared" si="56"/>
        <v>-4.9647298837236011E-5</v>
      </c>
      <c r="N174" s="205">
        <f t="shared" si="57"/>
        <v>-1.2518725841763672E-3</v>
      </c>
      <c r="O174" s="204">
        <f t="shared" si="58"/>
        <v>0</v>
      </c>
      <c r="P174" s="204">
        <f t="shared" si="59"/>
        <v>0</v>
      </c>
      <c r="Q174" s="204">
        <v>0</v>
      </c>
      <c r="R174" s="205">
        <f t="shared" si="60"/>
        <v>-1.2518725841763672E-3</v>
      </c>
    </row>
    <row r="175" spans="1:19" s="221" customFormat="1" x14ac:dyDescent="0.2">
      <c r="A175" s="162">
        <v>12</v>
      </c>
      <c r="B175" s="219">
        <f t="shared" si="54"/>
        <v>44896</v>
      </c>
      <c r="C175" s="217">
        <f t="shared" si="66"/>
        <v>44930</v>
      </c>
      <c r="D175" s="217">
        <f t="shared" si="66"/>
        <v>44950</v>
      </c>
      <c r="E175" s="226" t="s">
        <v>56</v>
      </c>
      <c r="F175" s="173">
        <v>9</v>
      </c>
      <c r="G175" s="199">
        <v>9</v>
      </c>
      <c r="H175" s="209">
        <f t="shared" si="64"/>
        <v>5.6216525614293303E-4</v>
      </c>
      <c r="I175" s="209">
        <f t="shared" si="53"/>
        <v>4.2858466888302956E-4</v>
      </c>
      <c r="J175" s="210">
        <f t="shared" si="55"/>
        <v>3.8572620199472663E-3</v>
      </c>
      <c r="K175" s="211">
        <f t="shared" si="49"/>
        <v>5.0594873052863974E-3</v>
      </c>
      <c r="L175" s="212">
        <f t="shared" si="65"/>
        <v>-1.2022252853391311E-3</v>
      </c>
      <c r="M175" s="204">
        <f t="shared" si="56"/>
        <v>-4.9647298837236011E-5</v>
      </c>
      <c r="N175" s="205">
        <f t="shared" si="57"/>
        <v>-1.2518725841763672E-3</v>
      </c>
      <c r="O175" s="204">
        <f t="shared" si="58"/>
        <v>0</v>
      </c>
      <c r="P175" s="204">
        <f t="shared" si="59"/>
        <v>0</v>
      </c>
      <c r="Q175" s="204">
        <v>0</v>
      </c>
      <c r="R175" s="205">
        <f t="shared" si="60"/>
        <v>-1.2518725841763672E-3</v>
      </c>
    </row>
    <row r="176" spans="1:19" x14ac:dyDescent="0.2">
      <c r="A176" s="125">
        <v>1</v>
      </c>
      <c r="B176" s="197">
        <f t="shared" si="54"/>
        <v>44562</v>
      </c>
      <c r="C176" s="214">
        <f t="shared" ref="C176:D187" si="67">+C152</f>
        <v>44595</v>
      </c>
      <c r="D176" s="214">
        <f t="shared" si="67"/>
        <v>44615</v>
      </c>
      <c r="E176" s="224" t="s">
        <v>57</v>
      </c>
      <c r="F176" s="162">
        <v>9</v>
      </c>
      <c r="G176" s="199">
        <v>22</v>
      </c>
      <c r="H176" s="200">
        <f>+$K$3</f>
        <v>5.6216525614293303E-4</v>
      </c>
      <c r="I176" s="200">
        <f t="shared" si="53"/>
        <v>4.2858466888302956E-4</v>
      </c>
      <c r="J176" s="201">
        <f t="shared" si="55"/>
        <v>9.4288627154266499E-3</v>
      </c>
      <c r="K176" s="202">
        <f t="shared" si="49"/>
        <v>1.2367635635144527E-2</v>
      </c>
      <c r="L176" s="203">
        <f t="shared" si="65"/>
        <v>-2.9387729197178775E-3</v>
      </c>
      <c r="M176" s="204">
        <f t="shared" si="56"/>
        <v>-1.2136006382435469E-4</v>
      </c>
      <c r="N176" s="205">
        <f t="shared" si="57"/>
        <v>-3.0601329835422322E-3</v>
      </c>
      <c r="O176" s="204">
        <f t="shared" si="58"/>
        <v>0</v>
      </c>
      <c r="P176" s="204">
        <f t="shared" si="59"/>
        <v>0</v>
      </c>
      <c r="Q176" s="204">
        <v>0</v>
      </c>
      <c r="R176" s="205">
        <f t="shared" si="60"/>
        <v>-3.0601329835422322E-3</v>
      </c>
    </row>
    <row r="177" spans="1:18" x14ac:dyDescent="0.2">
      <c r="A177" s="162">
        <v>2</v>
      </c>
      <c r="B177" s="197">
        <f t="shared" si="54"/>
        <v>44593</v>
      </c>
      <c r="C177" s="217">
        <f t="shared" si="67"/>
        <v>44623</v>
      </c>
      <c r="D177" s="217">
        <f t="shared" si="67"/>
        <v>44642</v>
      </c>
      <c r="E177" s="54" t="s">
        <v>57</v>
      </c>
      <c r="F177" s="162">
        <v>9</v>
      </c>
      <c r="G177" s="199">
        <v>22</v>
      </c>
      <c r="H177" s="200">
        <f t="shared" ref="H177:H187" si="68">+$K$3</f>
        <v>5.6216525614293303E-4</v>
      </c>
      <c r="I177" s="200">
        <f t="shared" si="53"/>
        <v>4.2858466888302956E-4</v>
      </c>
      <c r="J177" s="201">
        <f t="shared" si="55"/>
        <v>9.4288627154266499E-3</v>
      </c>
      <c r="K177" s="202">
        <f t="shared" si="49"/>
        <v>1.2367635635144527E-2</v>
      </c>
      <c r="L177" s="203">
        <f t="shared" si="65"/>
        <v>-2.9387729197178775E-3</v>
      </c>
      <c r="M177" s="204">
        <f t="shared" si="56"/>
        <v>-1.2136006382435469E-4</v>
      </c>
      <c r="N177" s="205">
        <f t="shared" si="57"/>
        <v>-3.0601329835422322E-3</v>
      </c>
      <c r="O177" s="204">
        <f t="shared" si="58"/>
        <v>0</v>
      </c>
      <c r="P177" s="204">
        <f t="shared" si="59"/>
        <v>0</v>
      </c>
      <c r="Q177" s="204">
        <v>0</v>
      </c>
      <c r="R177" s="205">
        <f t="shared" si="60"/>
        <v>-3.0601329835422322E-3</v>
      </c>
    </row>
    <row r="178" spans="1:18" x14ac:dyDescent="0.2">
      <c r="A178" s="162">
        <v>3</v>
      </c>
      <c r="B178" s="197">
        <f t="shared" si="54"/>
        <v>44621</v>
      </c>
      <c r="C178" s="217">
        <f t="shared" si="67"/>
        <v>44656</v>
      </c>
      <c r="D178" s="217">
        <f t="shared" si="67"/>
        <v>44676</v>
      </c>
      <c r="E178" s="54" t="s">
        <v>57</v>
      </c>
      <c r="F178" s="162">
        <v>9</v>
      </c>
      <c r="G178" s="199">
        <v>18</v>
      </c>
      <c r="H178" s="200">
        <f t="shared" si="68"/>
        <v>5.6216525614293303E-4</v>
      </c>
      <c r="I178" s="200">
        <f t="shared" si="53"/>
        <v>4.2858466888302956E-4</v>
      </c>
      <c r="J178" s="201">
        <f t="shared" si="55"/>
        <v>7.7145240398945325E-3</v>
      </c>
      <c r="K178" s="202">
        <f t="shared" si="49"/>
        <v>1.0118974610572795E-2</v>
      </c>
      <c r="L178" s="203">
        <f>+J178-K178</f>
        <v>-2.4044505706782623E-3</v>
      </c>
      <c r="M178" s="204">
        <f t="shared" si="56"/>
        <v>-9.9294597674472022E-5</v>
      </c>
      <c r="N178" s="205">
        <f t="shared" si="57"/>
        <v>-2.5037451683527345E-3</v>
      </c>
      <c r="O178" s="204">
        <f t="shared" si="58"/>
        <v>0</v>
      </c>
      <c r="P178" s="204">
        <f t="shared" si="59"/>
        <v>0</v>
      </c>
      <c r="Q178" s="204">
        <v>0</v>
      </c>
      <c r="R178" s="205">
        <f t="shared" si="60"/>
        <v>-2.5037451683527345E-3</v>
      </c>
    </row>
    <row r="179" spans="1:18" x14ac:dyDescent="0.2">
      <c r="A179" s="125">
        <v>4</v>
      </c>
      <c r="B179" s="197">
        <f t="shared" si="54"/>
        <v>44652</v>
      </c>
      <c r="C179" s="217">
        <f t="shared" si="67"/>
        <v>44685</v>
      </c>
      <c r="D179" s="217">
        <f t="shared" si="67"/>
        <v>44705</v>
      </c>
      <c r="E179" s="54" t="s">
        <v>57</v>
      </c>
      <c r="F179" s="162">
        <v>9</v>
      </c>
      <c r="G179" s="199">
        <v>21</v>
      </c>
      <c r="H179" s="200">
        <f t="shared" si="68"/>
        <v>5.6216525614293303E-4</v>
      </c>
      <c r="I179" s="200">
        <f t="shared" si="53"/>
        <v>4.2858466888302956E-4</v>
      </c>
      <c r="J179" s="201">
        <f t="shared" si="55"/>
        <v>9.0002780465436201E-3</v>
      </c>
      <c r="K179" s="202">
        <f t="shared" si="49"/>
        <v>1.1805470379001594E-2</v>
      </c>
      <c r="L179" s="203">
        <f t="shared" ref="L179:L189" si="69">+J179-K179</f>
        <v>-2.8051923324579741E-3</v>
      </c>
      <c r="M179" s="204">
        <f t="shared" si="56"/>
        <v>-1.1584369728688402E-4</v>
      </c>
      <c r="N179" s="205">
        <f t="shared" si="57"/>
        <v>-2.9210360297448582E-3</v>
      </c>
      <c r="O179" s="204">
        <f t="shared" si="58"/>
        <v>0</v>
      </c>
      <c r="P179" s="204">
        <f t="shared" si="59"/>
        <v>0</v>
      </c>
      <c r="Q179" s="204">
        <v>0</v>
      </c>
      <c r="R179" s="205">
        <f t="shared" si="60"/>
        <v>-2.9210360297448582E-3</v>
      </c>
    </row>
    <row r="180" spans="1:18" x14ac:dyDescent="0.2">
      <c r="A180" s="162">
        <v>5</v>
      </c>
      <c r="B180" s="197">
        <f t="shared" si="54"/>
        <v>44682</v>
      </c>
      <c r="C180" s="217">
        <f t="shared" si="67"/>
        <v>44715</v>
      </c>
      <c r="D180" s="217">
        <f t="shared" si="67"/>
        <v>44735</v>
      </c>
      <c r="E180" s="54" t="s">
        <v>57</v>
      </c>
      <c r="F180" s="162">
        <v>9</v>
      </c>
      <c r="G180" s="199">
        <v>31</v>
      </c>
      <c r="H180" s="200">
        <f t="shared" si="68"/>
        <v>5.6216525614293303E-4</v>
      </c>
      <c r="I180" s="200">
        <f t="shared" ref="I180:I211" si="70">$J$3</f>
        <v>4.2858466888302956E-4</v>
      </c>
      <c r="J180" s="201">
        <f t="shared" si="55"/>
        <v>1.3286124735373916E-2</v>
      </c>
      <c r="K180" s="202">
        <f t="shared" si="49"/>
        <v>1.7427122940430924E-2</v>
      </c>
      <c r="L180" s="203">
        <f t="shared" si="69"/>
        <v>-4.1409982050570077E-3</v>
      </c>
      <c r="M180" s="204">
        <f t="shared" si="56"/>
        <v>-1.7100736266159068E-4</v>
      </c>
      <c r="N180" s="205">
        <f t="shared" si="57"/>
        <v>-4.3120055677185985E-3</v>
      </c>
      <c r="O180" s="204">
        <f t="shared" si="58"/>
        <v>0</v>
      </c>
      <c r="P180" s="204">
        <f t="shared" si="59"/>
        <v>0</v>
      </c>
      <c r="Q180" s="204">
        <v>0</v>
      </c>
      <c r="R180" s="205">
        <f t="shared" si="60"/>
        <v>-4.3120055677185985E-3</v>
      </c>
    </row>
    <row r="181" spans="1:18" x14ac:dyDescent="0.2">
      <c r="A181" s="162">
        <v>6</v>
      </c>
      <c r="B181" s="197">
        <f t="shared" si="54"/>
        <v>44713</v>
      </c>
      <c r="C181" s="217">
        <f t="shared" si="67"/>
        <v>44747</v>
      </c>
      <c r="D181" s="217">
        <f t="shared" si="67"/>
        <v>44767</v>
      </c>
      <c r="E181" s="54" t="s">
        <v>57</v>
      </c>
      <c r="F181" s="162">
        <v>9</v>
      </c>
      <c r="G181" s="199">
        <v>38</v>
      </c>
      <c r="H181" s="200">
        <f t="shared" si="68"/>
        <v>5.6216525614293303E-4</v>
      </c>
      <c r="I181" s="200">
        <f t="shared" si="70"/>
        <v>4.2858466888302956E-4</v>
      </c>
      <c r="J181" s="201">
        <f t="shared" si="55"/>
        <v>1.6286217417555125E-2</v>
      </c>
      <c r="K181" s="202">
        <f t="shared" si="49"/>
        <v>2.1362279733431456E-2</v>
      </c>
      <c r="L181" s="207">
        <f t="shared" si="69"/>
        <v>-5.0760623158763313E-3</v>
      </c>
      <c r="M181" s="204">
        <f t="shared" si="56"/>
        <v>-2.0962192842388536E-4</v>
      </c>
      <c r="N181" s="205">
        <f t="shared" si="57"/>
        <v>-5.2856842443002169E-3</v>
      </c>
      <c r="O181" s="204">
        <f t="shared" si="58"/>
        <v>0</v>
      </c>
      <c r="P181" s="204">
        <f t="shared" si="59"/>
        <v>0</v>
      </c>
      <c r="Q181" s="204">
        <v>0</v>
      </c>
      <c r="R181" s="205">
        <f t="shared" si="60"/>
        <v>-5.2856842443002169E-3</v>
      </c>
    </row>
    <row r="182" spans="1:18" x14ac:dyDescent="0.2">
      <c r="A182" s="125">
        <v>7</v>
      </c>
      <c r="B182" s="197">
        <f t="shared" si="54"/>
        <v>44743</v>
      </c>
      <c r="C182" s="217">
        <f t="shared" si="67"/>
        <v>44776</v>
      </c>
      <c r="D182" s="217">
        <f t="shared" si="67"/>
        <v>44796</v>
      </c>
      <c r="E182" s="54" t="s">
        <v>57</v>
      </c>
      <c r="F182" s="162">
        <v>9</v>
      </c>
      <c r="G182" s="199">
        <v>40</v>
      </c>
      <c r="H182" s="200">
        <f t="shared" si="68"/>
        <v>5.6216525614293303E-4</v>
      </c>
      <c r="I182" s="200">
        <f t="shared" si="70"/>
        <v>4.2858466888302956E-4</v>
      </c>
      <c r="J182" s="201">
        <f t="shared" si="55"/>
        <v>1.7143386755321184E-2</v>
      </c>
      <c r="K182" s="208">
        <f t="shared" si="49"/>
        <v>2.2486610245717322E-2</v>
      </c>
      <c r="L182" s="207">
        <f t="shared" si="69"/>
        <v>-5.343223490396138E-3</v>
      </c>
      <c r="M182" s="204">
        <f t="shared" si="56"/>
        <v>-2.2065466149882669E-4</v>
      </c>
      <c r="N182" s="205">
        <f t="shared" si="57"/>
        <v>-5.5638781518949649E-3</v>
      </c>
      <c r="O182" s="204">
        <f t="shared" si="58"/>
        <v>0</v>
      </c>
      <c r="P182" s="204">
        <f t="shared" si="59"/>
        <v>0</v>
      </c>
      <c r="Q182" s="204">
        <v>0</v>
      </c>
      <c r="R182" s="205">
        <f t="shared" si="60"/>
        <v>-5.5638781518949649E-3</v>
      </c>
    </row>
    <row r="183" spans="1:18" x14ac:dyDescent="0.2">
      <c r="A183" s="162">
        <v>8</v>
      </c>
      <c r="B183" s="197">
        <f t="shared" si="54"/>
        <v>44774</v>
      </c>
      <c r="C183" s="217">
        <f t="shared" si="67"/>
        <v>44809</v>
      </c>
      <c r="D183" s="217">
        <f t="shared" si="67"/>
        <v>44827</v>
      </c>
      <c r="E183" s="54" t="s">
        <v>57</v>
      </c>
      <c r="F183" s="162">
        <v>9</v>
      </c>
      <c r="G183" s="199">
        <v>38</v>
      </c>
      <c r="H183" s="200">
        <f t="shared" si="68"/>
        <v>5.6216525614293303E-4</v>
      </c>
      <c r="I183" s="200">
        <f t="shared" si="70"/>
        <v>4.2858466888302956E-4</v>
      </c>
      <c r="J183" s="201">
        <f t="shared" si="55"/>
        <v>1.6286217417555125E-2</v>
      </c>
      <c r="K183" s="208">
        <f t="shared" si="49"/>
        <v>2.1362279733431456E-2</v>
      </c>
      <c r="L183" s="207">
        <f t="shared" si="69"/>
        <v>-5.0760623158763313E-3</v>
      </c>
      <c r="M183" s="204">
        <f t="shared" si="56"/>
        <v>-2.0962192842388536E-4</v>
      </c>
      <c r="N183" s="205">
        <f t="shared" si="57"/>
        <v>-5.2856842443002169E-3</v>
      </c>
      <c r="O183" s="204">
        <f t="shared" si="58"/>
        <v>0</v>
      </c>
      <c r="P183" s="204">
        <f t="shared" si="59"/>
        <v>0</v>
      </c>
      <c r="Q183" s="204">
        <v>0</v>
      </c>
      <c r="R183" s="205">
        <f t="shared" si="60"/>
        <v>-5.2856842443002169E-3</v>
      </c>
    </row>
    <row r="184" spans="1:18" x14ac:dyDescent="0.2">
      <c r="A184" s="162">
        <v>9</v>
      </c>
      <c r="B184" s="197">
        <f t="shared" si="54"/>
        <v>44805</v>
      </c>
      <c r="C184" s="217">
        <f t="shared" si="67"/>
        <v>44839</v>
      </c>
      <c r="D184" s="217">
        <f t="shared" si="67"/>
        <v>44859</v>
      </c>
      <c r="E184" s="54" t="s">
        <v>57</v>
      </c>
      <c r="F184" s="162">
        <v>9</v>
      </c>
      <c r="G184" s="199">
        <v>35</v>
      </c>
      <c r="H184" s="200">
        <f t="shared" si="68"/>
        <v>5.6216525614293303E-4</v>
      </c>
      <c r="I184" s="200">
        <f t="shared" si="70"/>
        <v>4.2858466888302956E-4</v>
      </c>
      <c r="J184" s="201">
        <f t="shared" si="55"/>
        <v>1.5000463410906035E-2</v>
      </c>
      <c r="K184" s="208">
        <f t="shared" si="49"/>
        <v>1.9675783965002656E-2</v>
      </c>
      <c r="L184" s="207">
        <f t="shared" si="69"/>
        <v>-4.6753205540966212E-3</v>
      </c>
      <c r="M184" s="204">
        <f t="shared" si="56"/>
        <v>-1.9307282881147336E-4</v>
      </c>
      <c r="N184" s="205">
        <f t="shared" si="57"/>
        <v>-4.8683933829080945E-3</v>
      </c>
      <c r="O184" s="204">
        <f t="shared" si="58"/>
        <v>0</v>
      </c>
      <c r="P184" s="204">
        <f t="shared" si="59"/>
        <v>0</v>
      </c>
      <c r="Q184" s="204">
        <v>0</v>
      </c>
      <c r="R184" s="205">
        <f t="shared" si="60"/>
        <v>-4.8683933829080945E-3</v>
      </c>
    </row>
    <row r="185" spans="1:18" x14ac:dyDescent="0.2">
      <c r="A185" s="125">
        <v>10</v>
      </c>
      <c r="B185" s="197">
        <f t="shared" si="54"/>
        <v>44835</v>
      </c>
      <c r="C185" s="217">
        <f t="shared" si="67"/>
        <v>44868</v>
      </c>
      <c r="D185" s="217">
        <f t="shared" si="67"/>
        <v>44888</v>
      </c>
      <c r="E185" s="54" t="s">
        <v>57</v>
      </c>
      <c r="F185" s="162">
        <v>9</v>
      </c>
      <c r="G185" s="199">
        <v>23</v>
      </c>
      <c r="H185" s="200">
        <f t="shared" si="68"/>
        <v>5.6216525614293303E-4</v>
      </c>
      <c r="I185" s="200">
        <f t="shared" si="70"/>
        <v>4.2858466888302956E-4</v>
      </c>
      <c r="J185" s="201">
        <f t="shared" si="55"/>
        <v>9.8574473843096796E-3</v>
      </c>
      <c r="K185" s="208">
        <f t="shared" si="49"/>
        <v>1.292980089128746E-2</v>
      </c>
      <c r="L185" s="207">
        <f t="shared" si="69"/>
        <v>-3.0723535069777808E-3</v>
      </c>
      <c r="M185" s="204">
        <f t="shared" si="56"/>
        <v>-1.2687643036182536E-4</v>
      </c>
      <c r="N185" s="205">
        <f t="shared" si="57"/>
        <v>-3.1992299373396062E-3</v>
      </c>
      <c r="O185" s="204">
        <f t="shared" si="58"/>
        <v>0</v>
      </c>
      <c r="P185" s="204">
        <f t="shared" si="59"/>
        <v>0</v>
      </c>
      <c r="Q185" s="204">
        <v>0</v>
      </c>
      <c r="R185" s="205">
        <f t="shared" si="60"/>
        <v>-3.1992299373396062E-3</v>
      </c>
    </row>
    <row r="186" spans="1:18" x14ac:dyDescent="0.2">
      <c r="A186" s="162">
        <v>11</v>
      </c>
      <c r="B186" s="197">
        <f t="shared" si="54"/>
        <v>44866</v>
      </c>
      <c r="C186" s="217">
        <f t="shared" si="67"/>
        <v>44900</v>
      </c>
      <c r="D186" s="217">
        <f t="shared" si="67"/>
        <v>44918</v>
      </c>
      <c r="E186" s="54" t="s">
        <v>57</v>
      </c>
      <c r="F186" s="162">
        <v>9</v>
      </c>
      <c r="G186" s="199">
        <v>18</v>
      </c>
      <c r="H186" s="200">
        <f t="shared" si="68"/>
        <v>5.6216525614293303E-4</v>
      </c>
      <c r="I186" s="200">
        <f t="shared" si="70"/>
        <v>4.2858466888302956E-4</v>
      </c>
      <c r="J186" s="201">
        <f t="shared" si="55"/>
        <v>7.7145240398945325E-3</v>
      </c>
      <c r="K186" s="208">
        <f t="shared" si="49"/>
        <v>1.0118974610572795E-2</v>
      </c>
      <c r="L186" s="207">
        <f t="shared" si="69"/>
        <v>-2.4044505706782623E-3</v>
      </c>
      <c r="M186" s="204">
        <f t="shared" si="56"/>
        <v>-9.9294597674472022E-5</v>
      </c>
      <c r="N186" s="205">
        <f t="shared" si="57"/>
        <v>-2.5037451683527345E-3</v>
      </c>
      <c r="O186" s="204">
        <f t="shared" si="58"/>
        <v>0</v>
      </c>
      <c r="P186" s="204">
        <f t="shared" si="59"/>
        <v>0</v>
      </c>
      <c r="Q186" s="204">
        <v>0</v>
      </c>
      <c r="R186" s="205">
        <f t="shared" si="60"/>
        <v>-2.5037451683527345E-3</v>
      </c>
    </row>
    <row r="187" spans="1:18" s="221" customFormat="1" x14ac:dyDescent="0.2">
      <c r="A187" s="162">
        <v>12</v>
      </c>
      <c r="B187" s="219">
        <f t="shared" si="54"/>
        <v>44896</v>
      </c>
      <c r="C187" s="217">
        <f t="shared" si="67"/>
        <v>44930</v>
      </c>
      <c r="D187" s="217">
        <f t="shared" si="67"/>
        <v>44950</v>
      </c>
      <c r="E187" s="220" t="s">
        <v>57</v>
      </c>
      <c r="F187" s="173">
        <v>9</v>
      </c>
      <c r="G187" s="199">
        <v>27</v>
      </c>
      <c r="H187" s="209">
        <f t="shared" si="68"/>
        <v>5.6216525614293303E-4</v>
      </c>
      <c r="I187" s="209">
        <f t="shared" si="70"/>
        <v>4.2858466888302956E-4</v>
      </c>
      <c r="J187" s="210">
        <f t="shared" si="55"/>
        <v>1.1571786059841799E-2</v>
      </c>
      <c r="K187" s="211">
        <f t="shared" si="49"/>
        <v>1.5178461915859191E-2</v>
      </c>
      <c r="L187" s="212">
        <f t="shared" si="69"/>
        <v>-3.6066758560173925E-3</v>
      </c>
      <c r="M187" s="204">
        <f t="shared" si="56"/>
        <v>-1.4894189651170803E-4</v>
      </c>
      <c r="N187" s="205">
        <f t="shared" si="57"/>
        <v>-3.7556177525291004E-3</v>
      </c>
      <c r="O187" s="204">
        <f t="shared" si="58"/>
        <v>0</v>
      </c>
      <c r="P187" s="204">
        <f t="shared" si="59"/>
        <v>0</v>
      </c>
      <c r="Q187" s="204">
        <v>0</v>
      </c>
      <c r="R187" s="205">
        <f t="shared" si="60"/>
        <v>-3.7556177525291004E-3</v>
      </c>
    </row>
    <row r="188" spans="1:18" x14ac:dyDescent="0.2">
      <c r="A188" s="125">
        <v>1</v>
      </c>
      <c r="B188" s="197">
        <f t="shared" si="54"/>
        <v>44562</v>
      </c>
      <c r="C188" s="214">
        <f t="shared" ref="C188:D211" si="71">+C176</f>
        <v>44595</v>
      </c>
      <c r="D188" s="214">
        <f t="shared" si="71"/>
        <v>44615</v>
      </c>
      <c r="E188" s="198" t="s">
        <v>58</v>
      </c>
      <c r="F188" s="125">
        <v>9</v>
      </c>
      <c r="G188" s="199">
        <v>37</v>
      </c>
      <c r="H188" s="200">
        <f>+$K$3</f>
        <v>5.6216525614293303E-4</v>
      </c>
      <c r="I188" s="200">
        <f t="shared" si="70"/>
        <v>4.2858466888302956E-4</v>
      </c>
      <c r="J188" s="201">
        <f t="shared" si="55"/>
        <v>1.5857632748672093E-2</v>
      </c>
      <c r="K188" s="202">
        <f t="shared" si="49"/>
        <v>2.0800114477288523E-2</v>
      </c>
      <c r="L188" s="203">
        <f t="shared" si="69"/>
        <v>-4.9424817286164296E-3</v>
      </c>
      <c r="M188" s="204">
        <f t="shared" si="56"/>
        <v>-2.041055618864147E-4</v>
      </c>
      <c r="N188" s="205">
        <f t="shared" si="57"/>
        <v>-5.1465872905028442E-3</v>
      </c>
      <c r="O188" s="204">
        <f t="shared" si="58"/>
        <v>0</v>
      </c>
      <c r="P188" s="204">
        <f t="shared" si="59"/>
        <v>0</v>
      </c>
      <c r="Q188" s="204">
        <v>0</v>
      </c>
      <c r="R188" s="205">
        <f t="shared" si="60"/>
        <v>-5.1465872905028442E-3</v>
      </c>
    </row>
    <row r="189" spans="1:18" x14ac:dyDescent="0.2">
      <c r="A189" s="162">
        <v>2</v>
      </c>
      <c r="B189" s="197">
        <f t="shared" si="54"/>
        <v>44593</v>
      </c>
      <c r="C189" s="217">
        <f t="shared" si="71"/>
        <v>44623</v>
      </c>
      <c r="D189" s="217">
        <f t="shared" si="71"/>
        <v>44642</v>
      </c>
      <c r="E189" s="206" t="s">
        <v>58</v>
      </c>
      <c r="F189" s="162">
        <v>9</v>
      </c>
      <c r="G189" s="199">
        <v>37</v>
      </c>
      <c r="H189" s="200">
        <f t="shared" ref="H189:H199" si="72">+$K$3</f>
        <v>5.6216525614293303E-4</v>
      </c>
      <c r="I189" s="200">
        <f t="shared" si="70"/>
        <v>4.2858466888302956E-4</v>
      </c>
      <c r="J189" s="201">
        <f t="shared" si="55"/>
        <v>1.5857632748672093E-2</v>
      </c>
      <c r="K189" s="202">
        <f t="shared" si="49"/>
        <v>2.0800114477288523E-2</v>
      </c>
      <c r="L189" s="203">
        <f t="shared" si="69"/>
        <v>-4.9424817286164296E-3</v>
      </c>
      <c r="M189" s="204">
        <f t="shared" si="56"/>
        <v>-2.041055618864147E-4</v>
      </c>
      <c r="N189" s="205">
        <f t="shared" si="57"/>
        <v>-5.1465872905028442E-3</v>
      </c>
      <c r="O189" s="204">
        <f t="shared" si="58"/>
        <v>0</v>
      </c>
      <c r="P189" s="204">
        <f t="shared" si="59"/>
        <v>0</v>
      </c>
      <c r="Q189" s="204">
        <v>0</v>
      </c>
      <c r="R189" s="205">
        <f t="shared" si="60"/>
        <v>-5.1465872905028442E-3</v>
      </c>
    </row>
    <row r="190" spans="1:18" x14ac:dyDescent="0.2">
      <c r="A190" s="162">
        <v>3</v>
      </c>
      <c r="B190" s="197">
        <f t="shared" si="54"/>
        <v>44621</v>
      </c>
      <c r="C190" s="217">
        <f t="shared" si="71"/>
        <v>44656</v>
      </c>
      <c r="D190" s="217">
        <f t="shared" si="71"/>
        <v>44676</v>
      </c>
      <c r="E190" s="206" t="s">
        <v>58</v>
      </c>
      <c r="F190" s="162">
        <v>9</v>
      </c>
      <c r="G190" s="199">
        <v>25</v>
      </c>
      <c r="H190" s="200">
        <f t="shared" si="72"/>
        <v>5.6216525614293303E-4</v>
      </c>
      <c r="I190" s="200">
        <f t="shared" si="70"/>
        <v>4.2858466888302956E-4</v>
      </c>
      <c r="J190" s="201">
        <f t="shared" si="55"/>
        <v>1.0714616722075739E-2</v>
      </c>
      <c r="K190" s="202">
        <f t="shared" si="49"/>
        <v>1.4054131403573325E-2</v>
      </c>
      <c r="L190" s="203">
        <f>+J190-K190</f>
        <v>-3.3395146814975858E-3</v>
      </c>
      <c r="M190" s="204">
        <f t="shared" si="56"/>
        <v>-1.3790916343676667E-4</v>
      </c>
      <c r="N190" s="205">
        <f t="shared" si="57"/>
        <v>-3.4774238449343524E-3</v>
      </c>
      <c r="O190" s="204">
        <f t="shared" si="58"/>
        <v>0</v>
      </c>
      <c r="P190" s="204">
        <f t="shared" si="59"/>
        <v>0</v>
      </c>
      <c r="Q190" s="204">
        <v>0</v>
      </c>
      <c r="R190" s="205">
        <f t="shared" si="60"/>
        <v>-3.4774238449343524E-3</v>
      </c>
    </row>
    <row r="191" spans="1:18" x14ac:dyDescent="0.2">
      <c r="A191" s="125">
        <v>4</v>
      </c>
      <c r="B191" s="197">
        <f t="shared" si="54"/>
        <v>44652</v>
      </c>
      <c r="C191" s="217">
        <f t="shared" si="71"/>
        <v>44685</v>
      </c>
      <c r="D191" s="217">
        <f t="shared" si="71"/>
        <v>44705</v>
      </c>
      <c r="E191" s="54" t="s">
        <v>58</v>
      </c>
      <c r="F191" s="162">
        <v>9</v>
      </c>
      <c r="G191" s="199">
        <v>31</v>
      </c>
      <c r="H191" s="200">
        <f t="shared" si="72"/>
        <v>5.6216525614293303E-4</v>
      </c>
      <c r="I191" s="200">
        <f t="shared" si="70"/>
        <v>4.2858466888302956E-4</v>
      </c>
      <c r="J191" s="201">
        <f t="shared" si="55"/>
        <v>1.3286124735373916E-2</v>
      </c>
      <c r="K191" s="202">
        <f t="shared" si="49"/>
        <v>1.7427122940430924E-2</v>
      </c>
      <c r="L191" s="203">
        <f t="shared" ref="L191:L201" si="73">+J191-K191</f>
        <v>-4.1409982050570077E-3</v>
      </c>
      <c r="M191" s="204">
        <f t="shared" si="56"/>
        <v>-1.7100736266159068E-4</v>
      </c>
      <c r="N191" s="205">
        <f t="shared" si="57"/>
        <v>-4.3120055677185985E-3</v>
      </c>
      <c r="O191" s="204">
        <f t="shared" si="58"/>
        <v>0</v>
      </c>
      <c r="P191" s="204">
        <f t="shared" si="59"/>
        <v>0</v>
      </c>
      <c r="Q191" s="204">
        <v>0</v>
      </c>
      <c r="R191" s="205">
        <f t="shared" si="60"/>
        <v>-4.3120055677185985E-3</v>
      </c>
    </row>
    <row r="192" spans="1:18" x14ac:dyDescent="0.2">
      <c r="A192" s="162">
        <v>5</v>
      </c>
      <c r="B192" s="197">
        <f t="shared" si="54"/>
        <v>44682</v>
      </c>
      <c r="C192" s="217">
        <f t="shared" si="71"/>
        <v>44715</v>
      </c>
      <c r="D192" s="217">
        <f t="shared" si="71"/>
        <v>44735</v>
      </c>
      <c r="E192" s="54" t="s">
        <v>58</v>
      </c>
      <c r="F192" s="162">
        <v>9</v>
      </c>
      <c r="G192" s="199">
        <v>40</v>
      </c>
      <c r="H192" s="200">
        <f t="shared" si="72"/>
        <v>5.6216525614293303E-4</v>
      </c>
      <c r="I192" s="200">
        <f t="shared" si="70"/>
        <v>4.2858466888302956E-4</v>
      </c>
      <c r="J192" s="201">
        <f t="shared" si="55"/>
        <v>1.7143386755321184E-2</v>
      </c>
      <c r="K192" s="202">
        <f t="shared" si="49"/>
        <v>2.2486610245717322E-2</v>
      </c>
      <c r="L192" s="203">
        <f t="shared" si="73"/>
        <v>-5.343223490396138E-3</v>
      </c>
      <c r="M192" s="204">
        <f t="shared" si="56"/>
        <v>-2.2065466149882669E-4</v>
      </c>
      <c r="N192" s="205">
        <f t="shared" si="57"/>
        <v>-5.5638781518949649E-3</v>
      </c>
      <c r="O192" s="204">
        <f t="shared" si="58"/>
        <v>0</v>
      </c>
      <c r="P192" s="204">
        <f t="shared" si="59"/>
        <v>0</v>
      </c>
      <c r="Q192" s="204">
        <v>0</v>
      </c>
      <c r="R192" s="205">
        <f t="shared" si="60"/>
        <v>-5.5638781518949649E-3</v>
      </c>
    </row>
    <row r="193" spans="1:18" x14ac:dyDescent="0.2">
      <c r="A193" s="162">
        <v>6</v>
      </c>
      <c r="B193" s="197">
        <f t="shared" si="54"/>
        <v>44713</v>
      </c>
      <c r="C193" s="217">
        <f t="shared" si="71"/>
        <v>44747</v>
      </c>
      <c r="D193" s="217">
        <f t="shared" si="71"/>
        <v>44767</v>
      </c>
      <c r="E193" s="54" t="s">
        <v>58</v>
      </c>
      <c r="F193" s="162">
        <v>9</v>
      </c>
      <c r="G193" s="199">
        <v>48</v>
      </c>
      <c r="H193" s="200">
        <f t="shared" si="72"/>
        <v>5.6216525614293303E-4</v>
      </c>
      <c r="I193" s="200">
        <f t="shared" si="70"/>
        <v>4.2858466888302956E-4</v>
      </c>
      <c r="J193" s="201">
        <f t="shared" si="55"/>
        <v>2.0572064106385419E-2</v>
      </c>
      <c r="K193" s="202">
        <f t="shared" si="49"/>
        <v>2.6983932294860784E-2</v>
      </c>
      <c r="L193" s="207">
        <f t="shared" si="73"/>
        <v>-6.4118681884753649E-3</v>
      </c>
      <c r="M193" s="204">
        <f t="shared" si="56"/>
        <v>-2.6478559379859202E-4</v>
      </c>
      <c r="N193" s="205">
        <f t="shared" si="57"/>
        <v>-6.6766537822739568E-3</v>
      </c>
      <c r="O193" s="204">
        <f t="shared" si="58"/>
        <v>0</v>
      </c>
      <c r="P193" s="204">
        <f t="shared" si="59"/>
        <v>0</v>
      </c>
      <c r="Q193" s="204">
        <v>0</v>
      </c>
      <c r="R193" s="205">
        <f t="shared" si="60"/>
        <v>-6.6766537822739568E-3</v>
      </c>
    </row>
    <row r="194" spans="1:18" x14ac:dyDescent="0.2">
      <c r="A194" s="125">
        <v>7</v>
      </c>
      <c r="B194" s="197">
        <f t="shared" si="54"/>
        <v>44743</v>
      </c>
      <c r="C194" s="217">
        <f t="shared" si="71"/>
        <v>44776</v>
      </c>
      <c r="D194" s="217">
        <f t="shared" si="71"/>
        <v>44796</v>
      </c>
      <c r="E194" s="54" t="s">
        <v>58</v>
      </c>
      <c r="F194" s="162">
        <v>9</v>
      </c>
      <c r="G194" s="199">
        <v>52</v>
      </c>
      <c r="H194" s="200">
        <f t="shared" si="72"/>
        <v>5.6216525614293303E-4</v>
      </c>
      <c r="I194" s="200">
        <f t="shared" si="70"/>
        <v>4.2858466888302956E-4</v>
      </c>
      <c r="J194" s="201">
        <f t="shared" si="55"/>
        <v>2.2286402781917538E-2</v>
      </c>
      <c r="K194" s="208">
        <f t="shared" si="49"/>
        <v>2.9232593319432516E-2</v>
      </c>
      <c r="L194" s="207">
        <f t="shared" si="73"/>
        <v>-6.9461905375149784E-3</v>
      </c>
      <c r="M194" s="204">
        <f t="shared" si="56"/>
        <v>-2.868510599484747E-4</v>
      </c>
      <c r="N194" s="205">
        <f t="shared" si="57"/>
        <v>-7.2330415974634528E-3</v>
      </c>
      <c r="O194" s="204">
        <f t="shared" si="58"/>
        <v>0</v>
      </c>
      <c r="P194" s="204">
        <f t="shared" si="59"/>
        <v>0</v>
      </c>
      <c r="Q194" s="204">
        <v>0</v>
      </c>
      <c r="R194" s="205">
        <f t="shared" si="60"/>
        <v>-7.2330415974634528E-3</v>
      </c>
    </row>
    <row r="195" spans="1:18" x14ac:dyDescent="0.2">
      <c r="A195" s="162">
        <v>8</v>
      </c>
      <c r="B195" s="197">
        <f t="shared" si="54"/>
        <v>44774</v>
      </c>
      <c r="C195" s="217">
        <f t="shared" si="71"/>
        <v>44809</v>
      </c>
      <c r="D195" s="217">
        <f t="shared" si="71"/>
        <v>44827</v>
      </c>
      <c r="E195" s="54" t="s">
        <v>58</v>
      </c>
      <c r="F195" s="162">
        <v>9</v>
      </c>
      <c r="G195" s="199">
        <v>50</v>
      </c>
      <c r="H195" s="200">
        <f t="shared" si="72"/>
        <v>5.6216525614293303E-4</v>
      </c>
      <c r="I195" s="200">
        <f t="shared" si="70"/>
        <v>4.2858466888302956E-4</v>
      </c>
      <c r="J195" s="201">
        <f t="shared" si="55"/>
        <v>2.1429233444151478E-2</v>
      </c>
      <c r="K195" s="208">
        <f t="shared" si="49"/>
        <v>2.810826280714665E-2</v>
      </c>
      <c r="L195" s="207">
        <f t="shared" si="73"/>
        <v>-6.6790293629951716E-3</v>
      </c>
      <c r="M195" s="204">
        <f t="shared" si="56"/>
        <v>-2.7581832687353333E-4</v>
      </c>
      <c r="N195" s="205">
        <f t="shared" si="57"/>
        <v>-6.9548476898687048E-3</v>
      </c>
      <c r="O195" s="204">
        <f t="shared" si="58"/>
        <v>0</v>
      </c>
      <c r="P195" s="204">
        <f t="shared" si="59"/>
        <v>0</v>
      </c>
      <c r="Q195" s="204">
        <v>0</v>
      </c>
      <c r="R195" s="205">
        <f t="shared" si="60"/>
        <v>-6.9548476898687048E-3</v>
      </c>
    </row>
    <row r="196" spans="1:18" x14ac:dyDescent="0.2">
      <c r="A196" s="162">
        <v>9</v>
      </c>
      <c r="B196" s="197">
        <f t="shared" si="54"/>
        <v>44805</v>
      </c>
      <c r="C196" s="217">
        <f t="shared" si="71"/>
        <v>44839</v>
      </c>
      <c r="D196" s="217">
        <f t="shared" si="71"/>
        <v>44859</v>
      </c>
      <c r="E196" s="54" t="s">
        <v>58</v>
      </c>
      <c r="F196" s="162">
        <v>9</v>
      </c>
      <c r="G196" s="199">
        <v>47</v>
      </c>
      <c r="H196" s="200">
        <f t="shared" si="72"/>
        <v>5.6216525614293303E-4</v>
      </c>
      <c r="I196" s="200">
        <f t="shared" si="70"/>
        <v>4.2858466888302956E-4</v>
      </c>
      <c r="J196" s="201">
        <f t="shared" si="55"/>
        <v>2.0143479437502391E-2</v>
      </c>
      <c r="K196" s="208">
        <f t="shared" si="49"/>
        <v>2.6421767038717854E-2</v>
      </c>
      <c r="L196" s="207">
        <f t="shared" si="73"/>
        <v>-6.2782876012154633E-3</v>
      </c>
      <c r="M196" s="204">
        <f t="shared" si="56"/>
        <v>-2.5926922726112139E-4</v>
      </c>
      <c r="N196" s="205">
        <f t="shared" si="57"/>
        <v>-6.537556828476585E-3</v>
      </c>
      <c r="O196" s="204">
        <f t="shared" si="58"/>
        <v>0</v>
      </c>
      <c r="P196" s="204">
        <f t="shared" si="59"/>
        <v>0</v>
      </c>
      <c r="Q196" s="204">
        <v>0</v>
      </c>
      <c r="R196" s="205">
        <f t="shared" si="60"/>
        <v>-6.537556828476585E-3</v>
      </c>
    </row>
    <row r="197" spans="1:18" x14ac:dyDescent="0.2">
      <c r="A197" s="125">
        <v>10</v>
      </c>
      <c r="B197" s="197">
        <f t="shared" si="54"/>
        <v>44835</v>
      </c>
      <c r="C197" s="217">
        <f t="shared" si="71"/>
        <v>44868</v>
      </c>
      <c r="D197" s="217">
        <f t="shared" si="71"/>
        <v>44888</v>
      </c>
      <c r="E197" s="54" t="s">
        <v>58</v>
      </c>
      <c r="F197" s="162">
        <v>9</v>
      </c>
      <c r="G197" s="199">
        <v>35</v>
      </c>
      <c r="H197" s="200">
        <f t="shared" si="72"/>
        <v>5.6216525614293303E-4</v>
      </c>
      <c r="I197" s="200">
        <f t="shared" si="70"/>
        <v>4.2858466888302956E-4</v>
      </c>
      <c r="J197" s="201">
        <f t="shared" si="55"/>
        <v>1.5000463410906035E-2</v>
      </c>
      <c r="K197" s="208">
        <f t="shared" si="49"/>
        <v>1.9675783965002656E-2</v>
      </c>
      <c r="L197" s="207">
        <f t="shared" si="73"/>
        <v>-4.6753205540966212E-3</v>
      </c>
      <c r="M197" s="204">
        <f t="shared" si="56"/>
        <v>-1.9307282881147336E-4</v>
      </c>
      <c r="N197" s="205">
        <f t="shared" si="57"/>
        <v>-4.8683933829080945E-3</v>
      </c>
      <c r="O197" s="204">
        <f t="shared" si="58"/>
        <v>0</v>
      </c>
      <c r="P197" s="204">
        <f t="shared" si="59"/>
        <v>0</v>
      </c>
      <c r="Q197" s="204">
        <v>0</v>
      </c>
      <c r="R197" s="205">
        <f t="shared" si="60"/>
        <v>-4.8683933829080945E-3</v>
      </c>
    </row>
    <row r="198" spans="1:18" x14ac:dyDescent="0.2">
      <c r="A198" s="162">
        <v>11</v>
      </c>
      <c r="B198" s="197">
        <f t="shared" si="54"/>
        <v>44866</v>
      </c>
      <c r="C198" s="217">
        <f t="shared" si="71"/>
        <v>44900</v>
      </c>
      <c r="D198" s="217">
        <f t="shared" si="71"/>
        <v>44918</v>
      </c>
      <c r="E198" s="54" t="s">
        <v>58</v>
      </c>
      <c r="F198" s="162">
        <v>9</v>
      </c>
      <c r="G198" s="199">
        <v>34</v>
      </c>
      <c r="H198" s="200">
        <f t="shared" si="72"/>
        <v>5.6216525614293303E-4</v>
      </c>
      <c r="I198" s="200">
        <f t="shared" si="70"/>
        <v>4.2858466888302956E-4</v>
      </c>
      <c r="J198" s="201">
        <f t="shared" si="55"/>
        <v>1.4571878742023005E-2</v>
      </c>
      <c r="K198" s="208">
        <f t="shared" ref="K198:K209" si="74">+$G198*H198</f>
        <v>1.9113618708859723E-2</v>
      </c>
      <c r="L198" s="207">
        <f t="shared" si="73"/>
        <v>-4.5417399668367178E-3</v>
      </c>
      <c r="M198" s="204">
        <f t="shared" si="56"/>
        <v>-1.8755646227400271E-4</v>
      </c>
      <c r="N198" s="205">
        <f t="shared" si="57"/>
        <v>-4.7292964291107209E-3</v>
      </c>
      <c r="O198" s="204">
        <f t="shared" si="58"/>
        <v>0</v>
      </c>
      <c r="P198" s="204">
        <f t="shared" si="59"/>
        <v>0</v>
      </c>
      <c r="Q198" s="204">
        <v>0</v>
      </c>
      <c r="R198" s="205">
        <f t="shared" si="60"/>
        <v>-4.7292964291107209E-3</v>
      </c>
    </row>
    <row r="199" spans="1:18" s="221" customFormat="1" x14ac:dyDescent="0.2">
      <c r="A199" s="162">
        <v>12</v>
      </c>
      <c r="B199" s="219">
        <f t="shared" si="54"/>
        <v>44896</v>
      </c>
      <c r="C199" s="217">
        <f t="shared" si="71"/>
        <v>44930</v>
      </c>
      <c r="D199" s="217">
        <f t="shared" si="71"/>
        <v>44950</v>
      </c>
      <c r="E199" s="220" t="s">
        <v>58</v>
      </c>
      <c r="F199" s="173">
        <v>9</v>
      </c>
      <c r="G199" s="199">
        <v>34</v>
      </c>
      <c r="H199" s="209">
        <f t="shared" si="72"/>
        <v>5.6216525614293303E-4</v>
      </c>
      <c r="I199" s="209">
        <f t="shared" si="70"/>
        <v>4.2858466888302956E-4</v>
      </c>
      <c r="J199" s="210">
        <f t="shared" si="55"/>
        <v>1.4571878742023005E-2</v>
      </c>
      <c r="K199" s="211">
        <f t="shared" si="74"/>
        <v>1.9113618708859723E-2</v>
      </c>
      <c r="L199" s="212">
        <f t="shared" si="73"/>
        <v>-4.5417399668367178E-3</v>
      </c>
      <c r="M199" s="204">
        <f t="shared" si="56"/>
        <v>-1.8755646227400271E-4</v>
      </c>
      <c r="N199" s="205">
        <f t="shared" si="57"/>
        <v>-4.7292964291107209E-3</v>
      </c>
      <c r="O199" s="204">
        <f t="shared" si="58"/>
        <v>0</v>
      </c>
      <c r="P199" s="204">
        <f t="shared" si="59"/>
        <v>0</v>
      </c>
      <c r="Q199" s="204">
        <v>0</v>
      </c>
      <c r="R199" s="205">
        <f t="shared" si="60"/>
        <v>-4.7292964291107209E-3</v>
      </c>
    </row>
    <row r="200" spans="1:18" x14ac:dyDescent="0.2">
      <c r="A200" s="125">
        <v>1</v>
      </c>
      <c r="B200" s="197">
        <f t="shared" si="54"/>
        <v>44562</v>
      </c>
      <c r="C200" s="214">
        <f t="shared" si="71"/>
        <v>44595</v>
      </c>
      <c r="D200" s="214">
        <f t="shared" si="71"/>
        <v>44615</v>
      </c>
      <c r="E200" s="198" t="s">
        <v>17</v>
      </c>
      <c r="F200" s="125">
        <v>9</v>
      </c>
      <c r="G200" s="199">
        <v>106</v>
      </c>
      <c r="H200" s="200">
        <f>+$K$3</f>
        <v>5.6216525614293303E-4</v>
      </c>
      <c r="I200" s="200">
        <f t="shared" si="70"/>
        <v>4.2858466888302956E-4</v>
      </c>
      <c r="J200" s="201">
        <f t="shared" si="55"/>
        <v>4.5429974901601132E-2</v>
      </c>
      <c r="K200" s="202">
        <f t="shared" si="74"/>
        <v>5.9589517151150899E-2</v>
      </c>
      <c r="L200" s="203">
        <f t="shared" si="73"/>
        <v>-1.4159542249549767E-2</v>
      </c>
      <c r="M200" s="204">
        <f t="shared" si="56"/>
        <v>-5.8473485297189077E-4</v>
      </c>
      <c r="N200" s="205">
        <f t="shared" si="57"/>
        <v>-1.4744277102521658E-2</v>
      </c>
      <c r="O200" s="204">
        <f t="shared" si="58"/>
        <v>0</v>
      </c>
      <c r="P200" s="204">
        <f t="shared" si="59"/>
        <v>0</v>
      </c>
      <c r="Q200" s="204">
        <v>0</v>
      </c>
      <c r="R200" s="205">
        <f t="shared" si="60"/>
        <v>-1.4744277102521658E-2</v>
      </c>
    </row>
    <row r="201" spans="1:18" x14ac:dyDescent="0.2">
      <c r="A201" s="162">
        <v>2</v>
      </c>
      <c r="B201" s="197">
        <f t="shared" si="54"/>
        <v>44593</v>
      </c>
      <c r="C201" s="217">
        <f t="shared" si="71"/>
        <v>44623</v>
      </c>
      <c r="D201" s="217">
        <f t="shared" si="71"/>
        <v>44642</v>
      </c>
      <c r="E201" s="206" t="s">
        <v>17</v>
      </c>
      <c r="F201" s="162">
        <v>9</v>
      </c>
      <c r="G201" s="199">
        <v>101</v>
      </c>
      <c r="H201" s="200">
        <f t="shared" ref="H201:H211" si="75">+$K$3</f>
        <v>5.6216525614293303E-4</v>
      </c>
      <c r="I201" s="200">
        <f t="shared" si="70"/>
        <v>4.2858466888302956E-4</v>
      </c>
      <c r="J201" s="201">
        <f t="shared" si="55"/>
        <v>4.3287051557185985E-2</v>
      </c>
      <c r="K201" s="202">
        <f t="shared" si="74"/>
        <v>5.6778690870436237E-2</v>
      </c>
      <c r="L201" s="203">
        <f t="shared" si="73"/>
        <v>-1.3491639313250252E-2</v>
      </c>
      <c r="M201" s="204">
        <f t="shared" si="56"/>
        <v>-5.5715302028453741E-4</v>
      </c>
      <c r="N201" s="205">
        <f t="shared" si="57"/>
        <v>-1.4048792333534789E-2</v>
      </c>
      <c r="O201" s="204">
        <f t="shared" si="58"/>
        <v>0</v>
      </c>
      <c r="P201" s="204">
        <f t="shared" si="59"/>
        <v>0</v>
      </c>
      <c r="Q201" s="204">
        <v>0</v>
      </c>
      <c r="R201" s="205">
        <f t="shared" si="60"/>
        <v>-1.4048792333534789E-2</v>
      </c>
    </row>
    <row r="202" spans="1:18" x14ac:dyDescent="0.2">
      <c r="A202" s="162">
        <v>3</v>
      </c>
      <c r="B202" s="197">
        <f t="shared" si="54"/>
        <v>44621</v>
      </c>
      <c r="C202" s="217">
        <f t="shared" si="71"/>
        <v>44656</v>
      </c>
      <c r="D202" s="217">
        <f t="shared" si="71"/>
        <v>44676</v>
      </c>
      <c r="E202" s="206" t="s">
        <v>17</v>
      </c>
      <c r="F202" s="162">
        <v>9</v>
      </c>
      <c r="G202" s="199">
        <v>97</v>
      </c>
      <c r="H202" s="200">
        <f t="shared" si="75"/>
        <v>5.6216525614293303E-4</v>
      </c>
      <c r="I202" s="200">
        <f t="shared" si="70"/>
        <v>4.2858466888302956E-4</v>
      </c>
      <c r="J202" s="201">
        <f t="shared" si="55"/>
        <v>4.1572712881653866E-2</v>
      </c>
      <c r="K202" s="202">
        <f t="shared" si="74"/>
        <v>5.4530029845864504E-2</v>
      </c>
      <c r="L202" s="203">
        <f>+J202-K202</f>
        <v>-1.2957316964210638E-2</v>
      </c>
      <c r="M202" s="204">
        <f t="shared" si="56"/>
        <v>-5.3508755413465478E-4</v>
      </c>
      <c r="N202" s="205">
        <f t="shared" si="57"/>
        <v>-1.3492404518345293E-2</v>
      </c>
      <c r="O202" s="204">
        <f t="shared" si="58"/>
        <v>0</v>
      </c>
      <c r="P202" s="204">
        <f t="shared" si="59"/>
        <v>0</v>
      </c>
      <c r="Q202" s="204">
        <v>0</v>
      </c>
      <c r="R202" s="205">
        <f t="shared" si="60"/>
        <v>-1.3492404518345293E-2</v>
      </c>
    </row>
    <row r="203" spans="1:18" x14ac:dyDescent="0.2">
      <c r="A203" s="125">
        <v>4</v>
      </c>
      <c r="B203" s="197">
        <f t="shared" si="54"/>
        <v>44652</v>
      </c>
      <c r="C203" s="217">
        <f t="shared" si="71"/>
        <v>44685</v>
      </c>
      <c r="D203" s="217">
        <f t="shared" si="71"/>
        <v>44705</v>
      </c>
      <c r="E203" s="206" t="s">
        <v>17</v>
      </c>
      <c r="F203" s="162">
        <v>9</v>
      </c>
      <c r="G203" s="199">
        <v>98</v>
      </c>
      <c r="H203" s="200">
        <f t="shared" si="75"/>
        <v>5.6216525614293303E-4</v>
      </c>
      <c r="I203" s="200">
        <f t="shared" si="70"/>
        <v>4.2858466888302956E-4</v>
      </c>
      <c r="J203" s="201">
        <f t="shared" si="55"/>
        <v>4.2001297550536894E-2</v>
      </c>
      <c r="K203" s="202">
        <f t="shared" si="74"/>
        <v>5.5092195102007434E-2</v>
      </c>
      <c r="L203" s="203">
        <f t="shared" ref="L203:L211" si="76">+J203-K203</f>
        <v>-1.309089755147054E-2</v>
      </c>
      <c r="M203" s="204">
        <f t="shared" si="56"/>
        <v>-5.4060392067212541E-4</v>
      </c>
      <c r="N203" s="205">
        <f t="shared" si="57"/>
        <v>-1.3631501472142666E-2</v>
      </c>
      <c r="O203" s="204">
        <f t="shared" si="58"/>
        <v>0</v>
      </c>
      <c r="P203" s="204">
        <f t="shared" si="59"/>
        <v>0</v>
      </c>
      <c r="Q203" s="204">
        <v>0</v>
      </c>
      <c r="R203" s="205">
        <f t="shared" si="60"/>
        <v>-1.3631501472142666E-2</v>
      </c>
    </row>
    <row r="204" spans="1:18" x14ac:dyDescent="0.2">
      <c r="A204" s="162">
        <v>5</v>
      </c>
      <c r="B204" s="197">
        <f t="shared" si="54"/>
        <v>44682</v>
      </c>
      <c r="C204" s="217">
        <f t="shared" si="71"/>
        <v>44715</v>
      </c>
      <c r="D204" s="217">
        <f t="shared" si="71"/>
        <v>44735</v>
      </c>
      <c r="E204" s="54" t="s">
        <v>17</v>
      </c>
      <c r="F204" s="162">
        <v>9</v>
      </c>
      <c r="G204" s="199">
        <v>104</v>
      </c>
      <c r="H204" s="200">
        <f t="shared" si="75"/>
        <v>5.6216525614293303E-4</v>
      </c>
      <c r="I204" s="200">
        <f t="shared" si="70"/>
        <v>4.2858466888302956E-4</v>
      </c>
      <c r="J204" s="201">
        <f t="shared" si="55"/>
        <v>4.4572805563835076E-2</v>
      </c>
      <c r="K204" s="202">
        <f t="shared" si="74"/>
        <v>5.8465186638865033E-2</v>
      </c>
      <c r="L204" s="203">
        <f t="shared" si="76"/>
        <v>-1.3892381075029957E-2</v>
      </c>
      <c r="M204" s="204">
        <f t="shared" si="56"/>
        <v>-5.737021198969494E-4</v>
      </c>
      <c r="N204" s="205">
        <f t="shared" si="57"/>
        <v>-1.4466083194926906E-2</v>
      </c>
      <c r="O204" s="204">
        <f t="shared" si="58"/>
        <v>0</v>
      </c>
      <c r="P204" s="204">
        <f t="shared" si="59"/>
        <v>0</v>
      </c>
      <c r="Q204" s="204">
        <v>0</v>
      </c>
      <c r="R204" s="205">
        <f t="shared" si="60"/>
        <v>-1.4466083194926906E-2</v>
      </c>
    </row>
    <row r="205" spans="1:18" x14ac:dyDescent="0.2">
      <c r="A205" s="162">
        <v>6</v>
      </c>
      <c r="B205" s="197">
        <f t="shared" si="54"/>
        <v>44713</v>
      </c>
      <c r="C205" s="217">
        <f t="shared" si="71"/>
        <v>44747</v>
      </c>
      <c r="D205" s="217">
        <f t="shared" si="71"/>
        <v>44767</v>
      </c>
      <c r="E205" s="54" t="s">
        <v>17</v>
      </c>
      <c r="F205" s="162">
        <v>9</v>
      </c>
      <c r="G205" s="199">
        <v>115</v>
      </c>
      <c r="H205" s="200">
        <f t="shared" si="75"/>
        <v>5.6216525614293303E-4</v>
      </c>
      <c r="I205" s="200">
        <f t="shared" si="70"/>
        <v>4.2858466888302956E-4</v>
      </c>
      <c r="J205" s="201">
        <f t="shared" si="55"/>
        <v>4.9287236921548398E-2</v>
      </c>
      <c r="K205" s="202">
        <f t="shared" si="74"/>
        <v>6.4649004456437301E-2</v>
      </c>
      <c r="L205" s="207">
        <f t="shared" si="76"/>
        <v>-1.5361767534888902E-2</v>
      </c>
      <c r="M205" s="204">
        <f t="shared" si="56"/>
        <v>-6.3438215180912686E-4</v>
      </c>
      <c r="N205" s="205">
        <f t="shared" si="57"/>
        <v>-1.5996149686698029E-2</v>
      </c>
      <c r="O205" s="204">
        <f t="shared" si="58"/>
        <v>0</v>
      </c>
      <c r="P205" s="204">
        <f t="shared" si="59"/>
        <v>0</v>
      </c>
      <c r="Q205" s="204">
        <v>0</v>
      </c>
      <c r="R205" s="205">
        <f t="shared" si="60"/>
        <v>-1.5996149686698029E-2</v>
      </c>
    </row>
    <row r="206" spans="1:18" x14ac:dyDescent="0.2">
      <c r="A206" s="125">
        <v>7</v>
      </c>
      <c r="B206" s="197">
        <f t="shared" si="54"/>
        <v>44743</v>
      </c>
      <c r="C206" s="217">
        <f t="shared" si="71"/>
        <v>44776</v>
      </c>
      <c r="D206" s="217">
        <f t="shared" si="71"/>
        <v>44796</v>
      </c>
      <c r="E206" s="54" t="s">
        <v>17</v>
      </c>
      <c r="F206" s="162">
        <v>9</v>
      </c>
      <c r="G206" s="199">
        <v>42</v>
      </c>
      <c r="H206" s="200">
        <f t="shared" si="75"/>
        <v>5.6216525614293303E-4</v>
      </c>
      <c r="I206" s="200">
        <f t="shared" si="70"/>
        <v>4.2858466888302956E-4</v>
      </c>
      <c r="J206" s="201">
        <f t="shared" si="55"/>
        <v>1.800055609308724E-2</v>
      </c>
      <c r="K206" s="208">
        <f t="shared" si="74"/>
        <v>2.3610940758003188E-2</v>
      </c>
      <c r="L206" s="207">
        <f t="shared" si="76"/>
        <v>-5.6103846649159482E-3</v>
      </c>
      <c r="M206" s="204">
        <f t="shared" si="56"/>
        <v>-2.3168739457376803E-4</v>
      </c>
      <c r="N206" s="205">
        <f t="shared" si="57"/>
        <v>-5.8420720594897163E-3</v>
      </c>
      <c r="O206" s="204">
        <f t="shared" si="58"/>
        <v>0</v>
      </c>
      <c r="P206" s="204">
        <f t="shared" si="59"/>
        <v>0</v>
      </c>
      <c r="Q206" s="204">
        <v>0</v>
      </c>
      <c r="R206" s="205">
        <f t="shared" si="60"/>
        <v>-5.8420720594897163E-3</v>
      </c>
    </row>
    <row r="207" spans="1:18" x14ac:dyDescent="0.2">
      <c r="A207" s="162">
        <v>8</v>
      </c>
      <c r="B207" s="197">
        <f t="shared" si="54"/>
        <v>44774</v>
      </c>
      <c r="C207" s="217">
        <f t="shared" si="71"/>
        <v>44809</v>
      </c>
      <c r="D207" s="217">
        <f t="shared" si="71"/>
        <v>44827</v>
      </c>
      <c r="E207" s="54" t="s">
        <v>17</v>
      </c>
      <c r="F207" s="162">
        <v>9</v>
      </c>
      <c r="G207" s="199">
        <v>41</v>
      </c>
      <c r="H207" s="200">
        <f t="shared" si="75"/>
        <v>5.6216525614293303E-4</v>
      </c>
      <c r="I207" s="200">
        <f t="shared" si="70"/>
        <v>4.2858466888302956E-4</v>
      </c>
      <c r="J207" s="201">
        <f t="shared" si="55"/>
        <v>1.7571971424204212E-2</v>
      </c>
      <c r="K207" s="208">
        <f t="shared" si="74"/>
        <v>2.3048775501860255E-2</v>
      </c>
      <c r="L207" s="207">
        <f t="shared" si="76"/>
        <v>-5.4768040776560431E-3</v>
      </c>
      <c r="M207" s="204">
        <f t="shared" si="56"/>
        <v>-2.2617102803629735E-4</v>
      </c>
      <c r="N207" s="205">
        <f t="shared" si="57"/>
        <v>-5.7029751056923402E-3</v>
      </c>
      <c r="O207" s="204">
        <f t="shared" si="58"/>
        <v>0</v>
      </c>
      <c r="P207" s="204">
        <f t="shared" si="59"/>
        <v>0</v>
      </c>
      <c r="Q207" s="204">
        <v>0</v>
      </c>
      <c r="R207" s="205">
        <f t="shared" si="60"/>
        <v>-5.7029751056923402E-3</v>
      </c>
    </row>
    <row r="208" spans="1:18" x14ac:dyDescent="0.2">
      <c r="A208" s="162">
        <v>9</v>
      </c>
      <c r="B208" s="197">
        <f t="shared" si="54"/>
        <v>44805</v>
      </c>
      <c r="C208" s="217">
        <f t="shared" si="71"/>
        <v>44839</v>
      </c>
      <c r="D208" s="217">
        <f t="shared" si="71"/>
        <v>44859</v>
      </c>
      <c r="E208" s="54" t="s">
        <v>17</v>
      </c>
      <c r="F208" s="162">
        <v>9</v>
      </c>
      <c r="G208" s="199">
        <v>115</v>
      </c>
      <c r="H208" s="200">
        <f t="shared" si="75"/>
        <v>5.6216525614293303E-4</v>
      </c>
      <c r="I208" s="200">
        <f t="shared" si="70"/>
        <v>4.2858466888302956E-4</v>
      </c>
      <c r="J208" s="201">
        <f t="shared" si="55"/>
        <v>4.9287236921548398E-2</v>
      </c>
      <c r="K208" s="208">
        <f t="shared" si="74"/>
        <v>6.4649004456437301E-2</v>
      </c>
      <c r="L208" s="207">
        <f t="shared" si="76"/>
        <v>-1.5361767534888902E-2</v>
      </c>
      <c r="M208" s="204">
        <f t="shared" si="56"/>
        <v>-6.3438215180912686E-4</v>
      </c>
      <c r="N208" s="205">
        <f t="shared" si="57"/>
        <v>-1.5996149686698029E-2</v>
      </c>
      <c r="O208" s="204">
        <f t="shared" si="58"/>
        <v>0</v>
      </c>
      <c r="P208" s="204">
        <f t="shared" si="59"/>
        <v>0</v>
      </c>
      <c r="Q208" s="204">
        <v>0</v>
      </c>
      <c r="R208" s="205">
        <f t="shared" si="60"/>
        <v>-1.5996149686698029E-2</v>
      </c>
    </row>
    <row r="209" spans="1:18" x14ac:dyDescent="0.2">
      <c r="A209" s="125">
        <v>10</v>
      </c>
      <c r="B209" s="197">
        <f t="shared" si="54"/>
        <v>44835</v>
      </c>
      <c r="C209" s="217">
        <f t="shared" si="71"/>
        <v>44868</v>
      </c>
      <c r="D209" s="217">
        <f t="shared" si="71"/>
        <v>44888</v>
      </c>
      <c r="E209" s="54" t="s">
        <v>17</v>
      </c>
      <c r="F209" s="162">
        <v>9</v>
      </c>
      <c r="G209" s="199">
        <v>105</v>
      </c>
      <c r="H209" s="200">
        <f t="shared" si="75"/>
        <v>5.6216525614293303E-4</v>
      </c>
      <c r="I209" s="200">
        <f t="shared" si="70"/>
        <v>4.2858466888302956E-4</v>
      </c>
      <c r="J209" s="201">
        <f t="shared" si="55"/>
        <v>4.5001390232718104E-2</v>
      </c>
      <c r="K209" s="208">
        <f t="shared" si="74"/>
        <v>5.9027351895007969E-2</v>
      </c>
      <c r="L209" s="207">
        <f t="shared" si="76"/>
        <v>-1.4025961662289865E-2</v>
      </c>
      <c r="M209" s="204">
        <f t="shared" si="56"/>
        <v>-5.7921848643442014E-4</v>
      </c>
      <c r="N209" s="205">
        <f t="shared" si="57"/>
        <v>-1.4605180148724285E-2</v>
      </c>
      <c r="O209" s="204">
        <f t="shared" si="58"/>
        <v>0</v>
      </c>
      <c r="P209" s="204">
        <f t="shared" si="59"/>
        <v>0</v>
      </c>
      <c r="Q209" s="204">
        <v>0</v>
      </c>
      <c r="R209" s="205">
        <f t="shared" si="60"/>
        <v>-1.4605180148724285E-2</v>
      </c>
    </row>
    <row r="210" spans="1:18" x14ac:dyDescent="0.2">
      <c r="A210" s="162">
        <v>11</v>
      </c>
      <c r="B210" s="197">
        <f t="shared" si="54"/>
        <v>44866</v>
      </c>
      <c r="C210" s="217">
        <f t="shared" si="71"/>
        <v>44900</v>
      </c>
      <c r="D210" s="217">
        <f t="shared" si="71"/>
        <v>44918</v>
      </c>
      <c r="E210" s="54" t="s">
        <v>17</v>
      </c>
      <c r="F210" s="162">
        <v>9</v>
      </c>
      <c r="G210" s="199">
        <v>104</v>
      </c>
      <c r="H210" s="200">
        <f t="shared" si="75"/>
        <v>5.6216525614293303E-4</v>
      </c>
      <c r="I210" s="200">
        <f t="shared" si="70"/>
        <v>4.2858466888302956E-4</v>
      </c>
      <c r="J210" s="201">
        <f t="shared" si="55"/>
        <v>4.4572805563835076E-2</v>
      </c>
      <c r="K210" s="208">
        <f>+$G210*H210</f>
        <v>5.8465186638865033E-2</v>
      </c>
      <c r="L210" s="207">
        <f t="shared" si="76"/>
        <v>-1.3892381075029957E-2</v>
      </c>
      <c r="M210" s="204">
        <f t="shared" si="56"/>
        <v>-5.737021198969494E-4</v>
      </c>
      <c r="N210" s="205">
        <f t="shared" si="57"/>
        <v>-1.4466083194926906E-2</v>
      </c>
      <c r="O210" s="204">
        <f t="shared" si="58"/>
        <v>0</v>
      </c>
      <c r="P210" s="204">
        <f t="shared" si="59"/>
        <v>0</v>
      </c>
      <c r="Q210" s="204">
        <v>0</v>
      </c>
      <c r="R210" s="205">
        <f t="shared" si="60"/>
        <v>-1.4466083194926906E-2</v>
      </c>
    </row>
    <row r="211" spans="1:18" s="221" customFormat="1" x14ac:dyDescent="0.2">
      <c r="A211" s="162">
        <v>12</v>
      </c>
      <c r="B211" s="219">
        <f t="shared" si="54"/>
        <v>44896</v>
      </c>
      <c r="C211" s="222">
        <f t="shared" si="71"/>
        <v>44930</v>
      </c>
      <c r="D211" s="222">
        <f t="shared" si="71"/>
        <v>44950</v>
      </c>
      <c r="E211" s="220" t="s">
        <v>17</v>
      </c>
      <c r="F211" s="173">
        <v>9</v>
      </c>
      <c r="G211" s="199">
        <v>104</v>
      </c>
      <c r="H211" s="209">
        <f t="shared" si="75"/>
        <v>5.6216525614293303E-4</v>
      </c>
      <c r="I211" s="209">
        <f t="shared" si="70"/>
        <v>4.2858466888302956E-4</v>
      </c>
      <c r="J211" s="210">
        <f t="shared" si="55"/>
        <v>4.4572805563835076E-2</v>
      </c>
      <c r="K211" s="211">
        <f>+$G211*H211</f>
        <v>5.8465186638865033E-2</v>
      </c>
      <c r="L211" s="212">
        <f t="shared" si="76"/>
        <v>-1.3892381075029957E-2</v>
      </c>
      <c r="M211" s="210">
        <f t="shared" si="56"/>
        <v>-5.737021198969494E-4</v>
      </c>
      <c r="N211" s="205">
        <f t="shared" si="57"/>
        <v>-1.4466083194926906E-2</v>
      </c>
      <c r="O211" s="210">
        <f t="shared" si="58"/>
        <v>0</v>
      </c>
      <c r="P211" s="227">
        <f t="shared" si="59"/>
        <v>0</v>
      </c>
      <c r="Q211" s="204">
        <v>0</v>
      </c>
      <c r="R211" s="205">
        <f t="shared" si="60"/>
        <v>-1.4466083194926906E-2</v>
      </c>
    </row>
    <row r="212" spans="1:18" x14ac:dyDescent="0.2">
      <c r="G212" s="228">
        <f>SUM(G20:G211)</f>
        <v>104674</v>
      </c>
      <c r="H212" s="51"/>
      <c r="I212" s="51"/>
      <c r="J212" s="51">
        <f>SUM(J20:J211)</f>
        <v>44.861671630662222</v>
      </c>
      <c r="K212" s="51">
        <f>SUM(K20:K211)</f>
        <v>58.844086021505341</v>
      </c>
      <c r="L212" s="51">
        <f>SUM(L20:L211)</f>
        <v>-13.982414390843143</v>
      </c>
      <c r="M212" s="51">
        <f>SUM(M20:M211)</f>
        <v>-0.57742015094320431</v>
      </c>
      <c r="N212" s="51"/>
      <c r="O212" s="51"/>
      <c r="P212" s="51">
        <f>SUM(P20:P211)</f>
        <v>0</v>
      </c>
      <c r="Q212" s="51"/>
      <c r="R212" s="229">
        <f>SUM(R20:R211)</f>
        <v>-14.559834541786346</v>
      </c>
    </row>
    <row r="213" spans="1:18" x14ac:dyDescent="0.2">
      <c r="P213" s="51"/>
      <c r="Q213" s="51"/>
    </row>
    <row r="220" spans="1:18" x14ac:dyDescent="0.2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77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NTowMy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ODoyMi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F6FA9DFA-5C72-40DC-AE3F-0714747E2677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183F8CC4-8732-488D-BD8D-50646C0D302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Instructions</vt:lpstr>
      <vt:lpstr>Summary</vt:lpstr>
      <vt:lpstr>Pivot</vt:lpstr>
      <vt:lpstr>Transactions</vt:lpstr>
      <vt:lpstr>Transactions!AS1_1999</vt:lpstr>
      <vt:lpstr>Instructions!Print_Area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s349016</cp:lastModifiedBy>
  <cp:lastPrinted>2023-05-25T12:06:50Z</cp:lastPrinted>
  <dcterms:created xsi:type="dcterms:W3CDTF">2009-09-04T18:19:13Z</dcterms:created>
  <dcterms:modified xsi:type="dcterms:W3CDTF">2023-05-25T12:07:20Z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90b7da01-4088-436e-908a-f2401c1a030d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{F6FA9DFA-5C72-40DC-AE3F-0714747E2677}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</Properties>
</file>